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nhvr-my.sharepoint.com/personal/kerry_plater_nhvr_gov_au/Documents/New Notices/Class 3 20m truck and dog/"/>
    </mc:Choice>
  </mc:AlternateContent>
  <xr:revisionPtr revIDLastSave="1" documentId="8_{7DB4DF2C-5244-43D4-939B-FBC7852DF496}" xr6:coauthVersionLast="47" xr6:coauthVersionMax="47" xr10:uidLastSave="{7B8C982C-018D-42BE-8FA4-259C5A47EE69}"/>
  <bookViews>
    <workbookView xWindow="-110" yWindow="-110" windowWidth="19420" windowHeight="10420" xr2:uid="{00000000-000D-0000-FFFF-FFFF00000000}"/>
  </bookViews>
  <sheets>
    <sheet name="20m T&amp;D checksheet " sheetId="8" r:id="rId1"/>
    <sheet name="Sheet1" sheetId="9" r:id="rId2"/>
    <sheet name="20m T&amp;D ASMS calculation sheet" sheetId="7" state="hidden" r:id="rId3"/>
  </sheets>
  <definedNames>
    <definedName name="B_Double_MDL">#REF!</definedName>
    <definedName name="General_MDL">#REF!</definedName>
    <definedName name="Road_Train_MD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7" l="1"/>
  <c r="B31" i="8"/>
  <c r="D31" i="8" s="1"/>
  <c r="B32" i="8"/>
  <c r="D32" i="8" s="1"/>
  <c r="N16" i="8"/>
  <c r="C25" i="8"/>
  <c r="G23" i="8"/>
  <c r="G24" i="8"/>
  <c r="G25" i="8"/>
  <c r="G26" i="8"/>
  <c r="G27" i="8"/>
  <c r="B34" i="8"/>
  <c r="C34" i="8" s="1"/>
  <c r="B33" i="8"/>
  <c r="C33" i="8" s="1"/>
  <c r="B29" i="8"/>
  <c r="C29" i="8" s="1"/>
  <c r="B28" i="8"/>
  <c r="D28" i="8" s="1"/>
  <c r="B24" i="8"/>
  <c r="C24" i="8" s="1"/>
  <c r="B30" i="8"/>
  <c r="C30" i="8" s="1"/>
  <c r="H7" i="7"/>
  <c r="B16" i="7" s="1"/>
  <c r="H26" i="8" s="1"/>
  <c r="F7" i="7"/>
  <c r="B15" i="7" s="1"/>
  <c r="H25" i="8" s="1"/>
  <c r="D7" i="7"/>
  <c r="B14" i="7" s="1"/>
  <c r="H24" i="8" s="1"/>
  <c r="B7" i="7"/>
  <c r="B13" i="7" s="1"/>
  <c r="H23" i="8" s="1"/>
  <c r="H8" i="7"/>
  <c r="F8" i="7"/>
  <c r="E8" i="7"/>
  <c r="D8" i="7"/>
  <c r="C8" i="7"/>
  <c r="B23" i="8"/>
  <c r="C23" i="8" s="1"/>
  <c r="K32" i="8"/>
  <c r="J24" i="8"/>
  <c r="J25" i="8"/>
  <c r="J26" i="8"/>
  <c r="J27" i="8"/>
  <c r="J28" i="8"/>
  <c r="J29" i="8"/>
  <c r="C31" i="8" l="1"/>
  <c r="C28" i="8"/>
  <c r="C32" i="8"/>
  <c r="C16" i="7"/>
  <c r="C15" i="7"/>
  <c r="C14" i="7"/>
  <c r="C13" i="7"/>
  <c r="B17" i="7" l="1"/>
  <c r="E18" i="7"/>
  <c r="K29" i="8" s="1"/>
  <c r="E17" i="7"/>
  <c r="K28" i="8" s="1"/>
  <c r="E14" i="7"/>
  <c r="K25" i="8" s="1"/>
  <c r="E16" i="7"/>
  <c r="K27" i="8" s="1"/>
  <c r="E13" i="7"/>
  <c r="K24" i="8" s="1"/>
  <c r="E15" i="7"/>
  <c r="K26" i="8" s="1"/>
  <c r="C17" i="7"/>
  <c r="F18" i="7"/>
  <c r="F17" i="7"/>
  <c r="F16" i="7"/>
  <c r="F15" i="7"/>
  <c r="F14" i="7"/>
  <c r="F13" i="7"/>
  <c r="J13" i="7" l="1"/>
  <c r="K13" i="7" s="1"/>
  <c r="N24" i="8" s="1"/>
  <c r="G14" i="7"/>
  <c r="H14" i="7" s="1"/>
  <c r="L25" i="8" s="1"/>
  <c r="J14" i="7"/>
  <c r="K14" i="7" s="1"/>
  <c r="N25" i="8" s="1"/>
  <c r="G15" i="7"/>
  <c r="H15" i="7" s="1"/>
  <c r="L26" i="8" s="1"/>
  <c r="J15" i="7"/>
  <c r="K15" i="7" s="1"/>
  <c r="N26" i="8" s="1"/>
  <c r="G16" i="7"/>
  <c r="H16" i="7" s="1"/>
  <c r="L27" i="8" s="1"/>
  <c r="J16" i="7"/>
  <c r="K16" i="7" s="1"/>
  <c r="N27" i="8" s="1"/>
  <c r="G17" i="7"/>
  <c r="H17" i="7" s="1"/>
  <c r="L28" i="8" s="1"/>
  <c r="J17" i="7"/>
  <c r="K17" i="7" s="1"/>
  <c r="G18" i="7"/>
  <c r="H18" i="7" s="1"/>
  <c r="L29" i="8" s="1"/>
  <c r="J18" i="7"/>
  <c r="K18" i="7" s="1"/>
  <c r="N29" i="8" s="1"/>
  <c r="G13" i="7"/>
  <c r="H13" i="7" s="1"/>
  <c r="L24" i="8" s="1"/>
  <c r="J21" i="7" l="1"/>
  <c r="N32" i="8" s="1"/>
  <c r="H27" i="8"/>
  <c r="L17" i="7"/>
  <c r="O28" i="8" s="1"/>
  <c r="N28" i="8"/>
  <c r="L18" i="7"/>
  <c r="O29" i="8" s="1"/>
  <c r="I18" i="7"/>
  <c r="M29" i="8" s="1"/>
  <c r="L16" i="7"/>
  <c r="O27" i="8" s="1"/>
  <c r="I16" i="7"/>
  <c r="M27" i="8" s="1"/>
  <c r="I17" i="7"/>
  <c r="M28" i="8" s="1"/>
  <c r="I13" i="7"/>
  <c r="M24" i="8" s="1"/>
  <c r="L14" i="7"/>
  <c r="O25" i="8" s="1"/>
  <c r="I14" i="7"/>
  <c r="M25" i="8" s="1"/>
  <c r="I15" i="7"/>
  <c r="M26" i="8" s="1"/>
  <c r="L15" i="7"/>
  <c r="O26" i="8" s="1"/>
  <c r="L13" i="7"/>
  <c r="O24" i="8" s="1"/>
  <c r="H19" i="7" l="1"/>
  <c r="L30" i="8" s="1"/>
  <c r="K19" i="7"/>
  <c r="N30" i="8" s="1"/>
</calcChain>
</file>

<file path=xl/sharedStrings.xml><?xml version="1.0" encoding="utf-8"?>
<sst xmlns="http://schemas.openxmlformats.org/spreadsheetml/2006/main" count="100" uniqueCount="86">
  <si>
    <t>Axle group</t>
  </si>
  <si>
    <t>Number of axles in group</t>
  </si>
  <si>
    <t>Distance in metres</t>
  </si>
  <si>
    <t>Pass/Fail</t>
  </si>
  <si>
    <t>Axle Group</t>
  </si>
  <si>
    <t>Axle Group Mass</t>
  </si>
  <si>
    <t>Total Mass</t>
  </si>
  <si>
    <t>Length</t>
  </si>
  <si>
    <t>1-3</t>
  </si>
  <si>
    <t>Width (m)</t>
  </si>
  <si>
    <t>Axle group mass (t)</t>
  </si>
  <si>
    <t>Drive mass at least 20% total</t>
  </si>
  <si>
    <t>Truck Height (m)</t>
  </si>
  <si>
    <t>Bin Height (BRH)</t>
  </si>
  <si>
    <t>Truck Bin Floor Height (TFH)</t>
  </si>
  <si>
    <t>Drawbar Length (DBL)</t>
  </si>
  <si>
    <t>Dog Trailer Bin Floor Height (DFH)</t>
  </si>
  <si>
    <t>Tow Coupling Overhang (TCO)</t>
  </si>
  <si>
    <t>Overall Vehicle Dimensions</t>
  </si>
  <si>
    <t>Bin Height Related Dimensions</t>
  </si>
  <si>
    <t>Truck Wheelbase (TWB) (Calculated)</t>
  </si>
  <si>
    <t>Dog Trailer Wheelbase (DWB) (Calculated)</t>
  </si>
  <si>
    <t>RESULTS</t>
  </si>
  <si>
    <t>ASMS Mass</t>
  </si>
  <si>
    <t>AXLE SPACING AND MASS INPUT - Note: Check Sheet Instructions are below the input and results sections of this check sheet.</t>
  </si>
  <si>
    <t>Overall Length (m)</t>
  </si>
  <si>
    <t>Axles Assessed</t>
  </si>
  <si>
    <t>1-7</t>
  </si>
  <si>
    <t>1-5</t>
  </si>
  <si>
    <t>2-5</t>
  </si>
  <si>
    <t>2-7</t>
  </si>
  <si>
    <t>4-7</t>
  </si>
  <si>
    <t>Assessed Mass</t>
  </si>
  <si>
    <t>T&amp;D Level 1 Max mass</t>
  </si>
  <si>
    <t>T&amp;D Level 2
Max mass</t>
  </si>
  <si>
    <t>Steer to 1st drive axle</t>
  </si>
  <si>
    <t>Drive axle spacing</t>
  </si>
  <si>
    <t>last drive to 1st trailer axle</t>
  </si>
  <si>
    <t>Tandem axle spacing</t>
  </si>
  <si>
    <t>Between trailer tandems</t>
  </si>
  <si>
    <t>Axles</t>
  </si>
  <si>
    <t>Steer</t>
  </si>
  <si>
    <t xml:space="preserve">Drive </t>
  </si>
  <si>
    <t>Trailer front</t>
  </si>
  <si>
    <t>Trailer rear</t>
  </si>
  <si>
    <t>Drive</t>
  </si>
  <si>
    <t>Axle spacing (m)</t>
  </si>
  <si>
    <t>Truck height (m)</t>
  </si>
  <si>
    <t>Overall length (m)</t>
  </si>
  <si>
    <t>TFH (m)</t>
  </si>
  <si>
    <t>DFH (m)</t>
  </si>
  <si>
    <t>2-3</t>
  </si>
  <si>
    <t>4-5</t>
  </si>
  <si>
    <t>6-7</t>
  </si>
  <si>
    <t>TCO (m)</t>
  </si>
  <si>
    <t>DBL(m)</t>
  </si>
  <si>
    <t>Truck bin height (m)</t>
  </si>
  <si>
    <t>Trailer bin height (m)</t>
  </si>
  <si>
    <t>Group mass</t>
  </si>
  <si>
    <t>Axles assessed</t>
  </si>
  <si>
    <t>Assessed mass</t>
  </si>
  <si>
    <t>Level 1 Max mass</t>
  </si>
  <si>
    <t>Level 2 Max mass</t>
  </si>
  <si>
    <t>3m high bin</t>
  </si>
  <si>
    <t>3.3m high bin</t>
  </si>
  <si>
    <t>Compliance with axle spacing limits (Bridge formulae)</t>
  </si>
  <si>
    <t>AXLE SPACING (BRIDGE FORMULAE) CALCULATION</t>
  </si>
  <si>
    <r>
      <rPr>
        <b/>
        <sz val="11"/>
        <rFont val="Calibri"/>
        <family val="2"/>
        <scheme val="minor"/>
      </rPr>
      <t xml:space="preserve">Axle Spacing Mass Schedule (Bridge Formula) Check (Note: </t>
    </r>
    <r>
      <rPr>
        <b/>
        <sz val="11"/>
        <color rgb="FF00B050"/>
        <rFont val="Calibri"/>
        <family val="2"/>
        <scheme val="minor"/>
      </rPr>
      <t>PASS</t>
    </r>
    <r>
      <rPr>
        <b/>
        <sz val="11"/>
        <color rgb="FFFFC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if Assessed Mass &lt;= Max Mass,</t>
    </r>
    <r>
      <rPr>
        <b/>
        <sz val="11"/>
        <color rgb="FFFFC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FAIL</t>
    </r>
    <r>
      <rPr>
        <b/>
        <sz val="11"/>
        <color rgb="FFFFC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if Assessed Mass&gt;Max Mass) </t>
    </r>
  </si>
  <si>
    <t>Results</t>
  </si>
  <si>
    <t>Check Sheet Instructions</t>
  </si>
  <si>
    <t>Work through the check sheet entering values in shaded boxes only.</t>
  </si>
  <si>
    <t>In shaded boxes in the "Axle spacing (m)" row, working from left to right, record distance in metres between :</t>
  </si>
  <si>
    <t>Compliance with vehicle dimension requirements</t>
  </si>
  <si>
    <t>•steer axle and first drive axle,</t>
  </si>
  <si>
    <t>•first drive axle and second drive axle,</t>
  </si>
  <si>
    <t>•second drive axle and first trailer axle,</t>
  </si>
  <si>
    <t>•first trailer axle and second trailer axle,</t>
  </si>
  <si>
    <t>•second trailer axle and third trailer axle,</t>
  </si>
  <si>
    <t>Note: If the result is a FAIL for the proposed Level, reducing masses at step 3 or increasing distances in step 2 could provide a PASS result. A PASS result means the given information complies with “Class 3 - 20m Truck and Dog Notice Axle spacing limits (Tier 1 Bridge Formulae)” and “Tow mass ratio” requirements for Level 1 or Level 2 operation.</t>
  </si>
  <si>
    <t>Compliance with notice/regulation overall dimension requirements and low bin and high bin dimension requirements are indicated as PASS or FAIL.</t>
  </si>
  <si>
    <t xml:space="preserve">Compliance with Axle spacing limits (Tier 1 Bridge Formulae) </t>
  </si>
  <si>
    <t>Compliance with Level 1 and Level 2 bridge formulae requirements will be indicated as PASS or FAIL under Level 1 or Level 2.</t>
  </si>
  <si>
    <t>•third trailer axle and fourth trailer axle.</t>
  </si>
  <si>
    <t> In the shaded boxes in the “Axle group mass (t)” row, enter the proposed axle/axle group mass (tonnes) for each axle/axle group. .  </t>
  </si>
  <si>
    <t>Note: Maximum steer axle mass is 6.5t, maximum tandem axle group mass is 17t with tandem axle mass reduced for Level 1 operation</t>
  </si>
  <si>
    <t>Note: If the result is a FAIL, altering dimensions may provide a PASS result. A PASS result means the given information complies with Class 3 - 20m Truck and Dog Notice dimension requirements for low bin or high bin operation.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</si>
</sst>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C000"/>
      <name val="Arial"/>
      <family val="2"/>
    </font>
    <font>
      <sz val="10"/>
      <color rgb="FFFFC000"/>
      <name val="Arial"/>
      <family val="2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24">
    <xf numFmtId="0" fontId="0" fillId="0" borderId="0" xfId="0"/>
    <xf numFmtId="0" fontId="0" fillId="2" borderId="0" xfId="0" applyFill="1" applyProtection="1"/>
    <xf numFmtId="0" fontId="3" fillId="2" borderId="0" xfId="0" applyFont="1" applyFill="1" applyBorder="1" applyProtection="1"/>
    <xf numFmtId="0" fontId="12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19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Protection="1"/>
    <xf numFmtId="0" fontId="0" fillId="0" borderId="0" xfId="0" applyFill="1" applyBorder="1" applyProtection="1"/>
    <xf numFmtId="0" fontId="0" fillId="2" borderId="0" xfId="0" applyFill="1" applyBorder="1" applyProtection="1"/>
    <xf numFmtId="0" fontId="19" fillId="0" borderId="0" xfId="0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 vertical="top" wrapText="1"/>
    </xf>
    <xf numFmtId="0" fontId="11" fillId="0" borderId="0" xfId="2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 wrapText="1"/>
    </xf>
    <xf numFmtId="0" fontId="20" fillId="0" borderId="0" xfId="0" applyFont="1" applyFill="1" applyBorder="1" applyProtection="1"/>
    <xf numFmtId="0" fontId="19" fillId="0" borderId="0" xfId="0" applyFont="1" applyFill="1" applyBorder="1" applyProtection="1"/>
    <xf numFmtId="0" fontId="19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/>
    <xf numFmtId="0" fontId="21" fillId="0" borderId="0" xfId="0" applyFont="1" applyFill="1" applyBorder="1" applyProtection="1"/>
    <xf numFmtId="0" fontId="4" fillId="0" borderId="0" xfId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right"/>
    </xf>
    <xf numFmtId="0" fontId="19" fillId="0" borderId="1" xfId="0" applyFont="1" applyFill="1" applyBorder="1" applyProtection="1"/>
    <xf numFmtId="0" fontId="19" fillId="0" borderId="1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/>
    <xf numFmtId="0" fontId="19" fillId="0" borderId="0" xfId="0" applyFont="1" applyFill="1" applyBorder="1" applyAlignment="1" applyProtection="1">
      <alignment horizontal="right"/>
    </xf>
    <xf numFmtId="0" fontId="11" fillId="2" borderId="0" xfId="2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 applyProtection="1">
      <alignment horizontal="center" vertical="top"/>
    </xf>
    <xf numFmtId="0" fontId="19" fillId="0" borderId="1" xfId="0" applyNumberFormat="1" applyFont="1" applyFill="1" applyBorder="1" applyAlignment="1" applyProtection="1">
      <alignment horizontal="center" vertical="top"/>
    </xf>
    <xf numFmtId="0" fontId="19" fillId="0" borderId="1" xfId="0" applyFont="1" applyFill="1" applyBorder="1" applyAlignment="1" applyProtection="1">
      <alignment horizontal="center" vertical="top"/>
    </xf>
    <xf numFmtId="0" fontId="18" fillId="0" borderId="1" xfId="0" applyFont="1" applyFill="1" applyBorder="1" applyAlignment="1" applyProtection="1">
      <alignment horizontal="center" vertical="top"/>
    </xf>
    <xf numFmtId="0" fontId="19" fillId="0" borderId="1" xfId="0" applyFont="1" applyFill="1" applyBorder="1" applyAlignment="1" applyProtection="1">
      <alignment horizontal="right"/>
    </xf>
    <xf numFmtId="0" fontId="19" fillId="0" borderId="1" xfId="1" quotePrefix="1" applyFont="1" applyFill="1" applyBorder="1" applyAlignment="1" applyProtection="1">
      <alignment horizontal="left"/>
    </xf>
    <xf numFmtId="0" fontId="8" fillId="0" borderId="9" xfId="1" quotePrefix="1" applyFont="1" applyFill="1" applyBorder="1" applyAlignment="1" applyProtection="1">
      <alignment horizontal="left"/>
    </xf>
    <xf numFmtId="2" fontId="8" fillId="0" borderId="9" xfId="1" applyNumberFormat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 wrapText="1"/>
    </xf>
    <xf numFmtId="0" fontId="20" fillId="0" borderId="2" xfId="1" applyFont="1" applyFill="1" applyBorder="1" applyAlignment="1" applyProtection="1">
      <alignment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horizontal="center"/>
    </xf>
    <xf numFmtId="0" fontId="20" fillId="0" borderId="1" xfId="1" applyFont="1" applyFill="1" applyBorder="1" applyAlignment="1" applyProtection="1">
      <alignment horizontal="center" vertical="top" wrapText="1"/>
    </xf>
    <xf numFmtId="0" fontId="19" fillId="0" borderId="1" xfId="2" applyFont="1" applyFill="1" applyBorder="1" applyAlignment="1" applyProtection="1">
      <alignment horizontal="center"/>
    </xf>
    <xf numFmtId="0" fontId="23" fillId="0" borderId="1" xfId="2" applyFont="1" applyFill="1" applyBorder="1" applyAlignment="1" applyProtection="1">
      <alignment horizontal="center"/>
    </xf>
    <xf numFmtId="0" fontId="6" fillId="0" borderId="0" xfId="0" applyFont="1" applyFill="1" applyProtection="1"/>
    <xf numFmtId="0" fontId="12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top"/>
    </xf>
    <xf numFmtId="0" fontId="15" fillId="0" borderId="7" xfId="0" applyFont="1" applyFill="1" applyBorder="1" applyAlignment="1" applyProtection="1">
      <alignment horizontal="center" vertical="top"/>
    </xf>
    <xf numFmtId="0" fontId="13" fillId="0" borderId="0" xfId="0" applyFont="1" applyFill="1" applyProtection="1"/>
    <xf numFmtId="0" fontId="10" fillId="0" borderId="0" xfId="1" applyFont="1" applyFill="1" applyAlignment="1" applyProtection="1">
      <alignment wrapText="1"/>
    </xf>
    <xf numFmtId="0" fontId="5" fillId="0" borderId="0" xfId="1" applyFont="1" applyFill="1" applyAlignment="1" applyProtection="1">
      <alignment horizontal="center" wrapText="1"/>
    </xf>
    <xf numFmtId="0" fontId="9" fillId="0" borderId="0" xfId="1" applyFont="1" applyFill="1" applyAlignment="1" applyProtection="1">
      <alignment horizontal="center" vertical="top" wrapText="1"/>
    </xf>
    <xf numFmtId="0" fontId="8" fillId="0" borderId="0" xfId="1" quotePrefix="1" applyFont="1" applyFill="1" applyBorder="1" applyAlignment="1" applyProtection="1">
      <alignment horizontal="left"/>
    </xf>
    <xf numFmtId="2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Fill="1" applyBorder="1" applyAlignment="1" applyProtection="1">
      <alignment horizontal="center"/>
    </xf>
    <xf numFmtId="0" fontId="11" fillId="0" borderId="0" xfId="2" applyFont="1" applyFill="1" applyAlignment="1" applyProtection="1">
      <alignment horizontal="center"/>
    </xf>
    <xf numFmtId="2" fontId="8" fillId="0" borderId="0" xfId="1" applyNumberFormat="1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Protection="1"/>
    <xf numFmtId="0" fontId="25" fillId="0" borderId="5" xfId="0" applyFont="1" applyFill="1" applyBorder="1" applyProtection="1"/>
    <xf numFmtId="0" fontId="12" fillId="0" borderId="6" xfId="0" applyFont="1" applyFill="1" applyBorder="1" applyAlignment="1" applyProtection="1">
      <alignment horizontal="center"/>
    </xf>
    <xf numFmtId="49" fontId="12" fillId="0" borderId="4" xfId="0" applyNumberFormat="1" applyFont="1" applyFill="1" applyBorder="1" applyAlignment="1" applyProtection="1">
      <alignment horizontal="center" wrapText="1"/>
    </xf>
    <xf numFmtId="0" fontId="12" fillId="0" borderId="0" xfId="0" applyFont="1" applyFill="1" applyAlignment="1" applyProtection="1">
      <alignment horizont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Protection="1"/>
    <xf numFmtId="0" fontId="12" fillId="0" borderId="0" xfId="0" applyFont="1" applyFill="1" applyProtection="1"/>
    <xf numFmtId="0" fontId="12" fillId="2" borderId="0" xfId="0" applyFont="1" applyFill="1" applyProtection="1"/>
    <xf numFmtId="0" fontId="25" fillId="0" borderId="1" xfId="0" applyFont="1" applyFill="1" applyBorder="1" applyAlignment="1" applyProtection="1">
      <alignment horizontal="center" vertical="top"/>
    </xf>
    <xf numFmtId="0" fontId="25" fillId="0" borderId="1" xfId="0" applyFont="1" applyFill="1" applyBorder="1" applyAlignment="1" applyProtection="1">
      <alignment horizontal="center" vertical="top" wrapText="1"/>
    </xf>
    <xf numFmtId="0" fontId="12" fillId="0" borderId="1" xfId="0" applyFont="1" applyFill="1" applyBorder="1" applyAlignment="1" applyProtection="1">
      <alignment horizontal="center" vertical="top"/>
    </xf>
    <xf numFmtId="49" fontId="12" fillId="0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0" fontId="12" fillId="0" borderId="7" xfId="0" applyFont="1" applyFill="1" applyBorder="1" applyAlignment="1" applyProtection="1">
      <alignment horizontal="center" vertical="top"/>
    </xf>
    <xf numFmtId="0" fontId="12" fillId="0" borderId="0" xfId="0" applyFont="1" applyFill="1" applyAlignment="1" applyProtection="1">
      <alignment horizontal="right"/>
    </xf>
    <xf numFmtId="0" fontId="20" fillId="0" borderId="7" xfId="1" applyFont="1" applyFill="1" applyBorder="1" applyAlignment="1" applyProtection="1">
      <alignment horizontal="center" vertical="top" wrapText="1"/>
    </xf>
    <xf numFmtId="0" fontId="19" fillId="0" borderId="7" xfId="2" applyFont="1" applyFill="1" applyBorder="1" applyAlignment="1" applyProtection="1">
      <alignment horizontal="center"/>
    </xf>
    <xf numFmtId="0" fontId="19" fillId="0" borderId="7" xfId="0" applyFont="1" applyFill="1" applyBorder="1" applyAlignment="1" applyProtection="1">
      <alignment horizontal="center" vertical="center" wrapText="1"/>
    </xf>
    <xf numFmtId="0" fontId="23" fillId="0" borderId="10" xfId="2" applyFont="1" applyFill="1" applyBorder="1" applyAlignment="1" applyProtection="1">
      <alignment horizontal="center"/>
    </xf>
    <xf numFmtId="0" fontId="23" fillId="0" borderId="0" xfId="2" applyFont="1" applyFill="1" applyBorder="1" applyAlignment="1" applyProtection="1">
      <alignment horizontal="center"/>
    </xf>
    <xf numFmtId="0" fontId="19" fillId="0" borderId="1" xfId="1" applyNumberFormat="1" applyFont="1" applyFill="1" applyBorder="1" applyAlignment="1" applyProtection="1">
      <alignment horizontal="center"/>
    </xf>
    <xf numFmtId="0" fontId="19" fillId="3" borderId="1" xfId="0" applyFont="1" applyFill="1" applyBorder="1" applyAlignment="1" applyProtection="1">
      <alignment horizontal="center" wrapText="1"/>
      <protection locked="0"/>
    </xf>
    <xf numFmtId="0" fontId="19" fillId="3" borderId="1" xfId="0" applyFont="1" applyFill="1" applyBorder="1" applyAlignment="1" applyProtection="1">
      <alignment horizontal="center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/>
      <protection locked="0"/>
    </xf>
    <xf numFmtId="0" fontId="19" fillId="3" borderId="1" xfId="1" applyNumberFormat="1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Protection="1"/>
    <xf numFmtId="0" fontId="24" fillId="0" borderId="0" xfId="0" applyFont="1" applyFill="1" applyProtection="1"/>
    <xf numFmtId="0" fontId="19" fillId="0" borderId="0" xfId="0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>
      <alignment horizontal="right" wrapText="1"/>
    </xf>
    <xf numFmtId="0" fontId="19" fillId="0" borderId="0" xfId="0" applyFont="1" applyFill="1" applyBorder="1" applyAlignment="1" applyProtection="1">
      <alignment horizontal="center" wrapText="1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23" fillId="0" borderId="5" xfId="2" applyFont="1" applyFill="1" applyBorder="1" applyAlignment="1" applyProtection="1">
      <alignment horizontal="center"/>
    </xf>
    <xf numFmtId="0" fontId="23" fillId="0" borderId="3" xfId="2" applyFont="1" applyFill="1" applyBorder="1" applyAlignment="1" applyProtection="1">
      <alignment horizontal="center"/>
    </xf>
    <xf numFmtId="0" fontId="22" fillId="0" borderId="1" xfId="0" applyFont="1" applyFill="1" applyBorder="1" applyAlignment="1" applyProtection="1">
      <alignment horizontal="center" vertical="top"/>
    </xf>
    <xf numFmtId="0" fontId="19" fillId="0" borderId="1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right"/>
    </xf>
    <xf numFmtId="0" fontId="19" fillId="0" borderId="8" xfId="0" applyFont="1" applyFill="1" applyBorder="1" applyAlignment="1" applyProtection="1">
      <alignment horizontal="right"/>
    </xf>
    <xf numFmtId="0" fontId="20" fillId="0" borderId="1" xfId="0" applyFont="1" applyFill="1" applyBorder="1" applyAlignment="1" applyProtection="1"/>
    <xf numFmtId="0" fontId="19" fillId="0" borderId="0" xfId="0" applyFont="1" applyFill="1" applyBorder="1" applyAlignment="1" applyProtection="1">
      <alignment horizontal="right" wrapText="1"/>
    </xf>
    <xf numFmtId="0" fontId="19" fillId="0" borderId="8" xfId="0" applyFont="1" applyFill="1" applyBorder="1" applyAlignment="1" applyProtection="1">
      <alignment horizontal="right" wrapText="1"/>
    </xf>
    <xf numFmtId="0" fontId="19" fillId="3" borderId="5" xfId="0" applyFont="1" applyFill="1" applyBorder="1" applyAlignment="1" applyProtection="1">
      <alignment horizontal="center"/>
      <protection locked="0"/>
    </xf>
    <xf numFmtId="0" fontId="19" fillId="3" borderId="3" xfId="0" applyFont="1" applyFill="1" applyBorder="1" applyAlignment="1" applyProtection="1">
      <alignment horizontal="center"/>
      <protection locked="0"/>
    </xf>
    <xf numFmtId="0" fontId="19" fillId="3" borderId="1" xfId="0" applyFont="1" applyFill="1" applyBorder="1" applyAlignment="1" applyProtection="1">
      <alignment horizontal="center"/>
      <protection locked="0"/>
    </xf>
    <xf numFmtId="0" fontId="19" fillId="3" borderId="6" xfId="0" applyFont="1" applyFill="1" applyBorder="1" applyAlignment="1" applyProtection="1">
      <alignment horizontal="center"/>
      <protection locked="0"/>
    </xf>
    <xf numFmtId="0" fontId="19" fillId="0" borderId="9" xfId="0" applyFont="1" applyFill="1" applyBorder="1" applyAlignment="1" applyProtection="1">
      <alignment horizontal="right"/>
    </xf>
    <xf numFmtId="0" fontId="19" fillId="0" borderId="11" xfId="0" applyFont="1" applyFill="1" applyBorder="1" applyAlignment="1" applyProtection="1">
      <alignment horizontal="right"/>
    </xf>
    <xf numFmtId="0" fontId="25" fillId="0" borderId="0" xfId="0" applyFont="1" applyFill="1" applyProtection="1"/>
    <xf numFmtId="0" fontId="25" fillId="0" borderId="2" xfId="0" applyFont="1" applyFill="1" applyBorder="1" applyProtection="1"/>
    <xf numFmtId="0" fontId="11" fillId="2" borderId="0" xfId="2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horizontal="center" vertical="top"/>
    </xf>
    <xf numFmtId="0" fontId="12" fillId="0" borderId="0" xfId="0" applyFont="1" applyFill="1" applyBorder="1" applyAlignment="1" applyProtection="1">
      <alignment horizontal="center"/>
    </xf>
    <xf numFmtId="0" fontId="12" fillId="0" borderId="8" xfId="0" applyFont="1" applyFill="1" applyBorder="1" applyAlignment="1" applyProtection="1">
      <alignment horizont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52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15D16F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F0000"/>
      <color rgb="FF05AABB"/>
      <color rgb="FF15D16F"/>
      <color rgb="FFB00000"/>
      <color rgb="FFC00000"/>
      <color rgb="FF85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201930</xdr:colOff>
      <xdr:row>56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8465DF8-D21F-48D8-A308-52395E9EF13F}"/>
            </a:ext>
          </a:extLst>
        </xdr:cNvPr>
        <xdr:cNvSpPr txBox="1"/>
      </xdr:nvSpPr>
      <xdr:spPr>
        <a:xfrm>
          <a:off x="7117080" y="9140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 editAs="oneCell">
    <xdr:from>
      <xdr:col>0</xdr:col>
      <xdr:colOff>1731645</xdr:colOff>
      <xdr:row>8</xdr:row>
      <xdr:rowOff>26670</xdr:rowOff>
    </xdr:from>
    <xdr:to>
      <xdr:col>12</xdr:col>
      <xdr:colOff>401241</xdr:colOff>
      <xdr:row>15</xdr:row>
      <xdr:rowOff>152599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6DF5E8-9FF3-4296-8AE8-EA41E7EE1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45" y="1522095"/>
          <a:ext cx="8118396" cy="1430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201930</xdr:colOff>
      <xdr:row>46</xdr:row>
      <xdr:rowOff>15240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2733BC4-47DA-48E9-9178-C797747B7F3B}"/>
            </a:ext>
          </a:extLst>
        </xdr:cNvPr>
        <xdr:cNvSpPr txBox="1"/>
      </xdr:nvSpPr>
      <xdr:spPr>
        <a:xfrm>
          <a:off x="6993255" y="8892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B109-E69D-4A5C-97B7-3EAC10999702}">
  <dimension ref="A1:AE56"/>
  <sheetViews>
    <sheetView tabSelected="1" topLeftCell="A6" workbookViewId="0">
      <selection activeCell="F19" sqref="F19:G19"/>
    </sheetView>
  </sheetViews>
  <sheetFormatPr defaultColWidth="20.6328125" defaultRowHeight="14.5" x14ac:dyDescent="0.35"/>
  <cols>
    <col min="1" max="1" width="33.6328125" style="4" customWidth="1"/>
    <col min="2" max="2" width="10.36328125" style="4" customWidth="1"/>
    <col min="3" max="3" width="10.6328125" style="4" customWidth="1"/>
    <col min="4" max="4" width="14" style="4" customWidth="1"/>
    <col min="5" max="5" width="8.6328125" style="4" customWidth="1"/>
    <col min="6" max="6" width="10.6328125" style="4" customWidth="1"/>
    <col min="7" max="7" width="11.36328125" style="4" customWidth="1"/>
    <col min="8" max="8" width="10.6328125" style="4" customWidth="1"/>
    <col min="9" max="9" width="2" style="4" customWidth="1"/>
    <col min="10" max="10" width="7.54296875" style="4" customWidth="1"/>
    <col min="11" max="11" width="7.81640625" style="4" customWidth="1"/>
    <col min="12" max="13" width="10.6328125" style="4" customWidth="1"/>
    <col min="14" max="14" width="9.453125" style="4" customWidth="1"/>
    <col min="15" max="15" width="7.81640625" style="4" customWidth="1"/>
    <col min="16" max="16" width="11.54296875" style="4" customWidth="1"/>
    <col min="17" max="17" width="22" style="4" customWidth="1"/>
    <col min="18" max="18" width="11.54296875" style="4" customWidth="1"/>
    <col min="19" max="19" width="11" style="4" customWidth="1"/>
    <col min="20" max="20" width="17.453125" style="4" customWidth="1"/>
    <col min="21" max="22" width="20.6328125" style="4"/>
    <col min="23" max="23" width="18.1796875" style="4" customWidth="1"/>
    <col min="24" max="24" width="20.6328125" style="4"/>
    <col min="25" max="25" width="11.81640625" style="4" customWidth="1"/>
    <col min="26" max="16384" width="20.6328125" style="4"/>
  </cols>
  <sheetData>
    <row r="1" spans="1:25" x14ac:dyDescent="0.35">
      <c r="A1" s="2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6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35">
      <c r="A2" s="24"/>
      <c r="B2" s="15"/>
      <c r="C2" s="15"/>
      <c r="G2" s="15"/>
      <c r="H2" s="15"/>
      <c r="I2" s="15"/>
      <c r="J2" s="15"/>
      <c r="K2" s="15"/>
      <c r="L2" s="15"/>
      <c r="M2" s="15"/>
      <c r="N2" s="15"/>
      <c r="O2" s="6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x14ac:dyDescent="0.35">
      <c r="C3" s="14"/>
      <c r="D3" s="14"/>
      <c r="E3" s="14"/>
      <c r="F3" s="14"/>
      <c r="G3" s="14"/>
      <c r="H3" s="14"/>
      <c r="I3" s="14"/>
      <c r="J3" s="14"/>
      <c r="K3" s="15"/>
      <c r="L3" s="15"/>
      <c r="M3" s="15"/>
      <c r="N3" s="15"/>
      <c r="O3" s="6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" customHeight="1" x14ac:dyDescent="0.35">
      <c r="A4" s="20"/>
      <c r="B4" s="16"/>
      <c r="F4" s="16"/>
      <c r="G4" s="16"/>
      <c r="H4" s="16"/>
      <c r="I4" s="16"/>
      <c r="J4" s="16"/>
      <c r="N4" s="15"/>
      <c r="O4" s="6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" customHeight="1" x14ac:dyDescent="0.35">
      <c r="A5" s="20"/>
      <c r="B5" s="16"/>
      <c r="C5" s="94"/>
      <c r="D5" s="94"/>
      <c r="E5" s="95"/>
      <c r="F5" s="16"/>
      <c r="G5" s="16"/>
      <c r="H5" s="16"/>
      <c r="I5" s="16"/>
      <c r="J5" s="16"/>
      <c r="K5" s="94"/>
      <c r="L5" s="94"/>
      <c r="M5" s="96"/>
      <c r="N5" s="15"/>
      <c r="O5" s="6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" customHeight="1" x14ac:dyDescent="0.35">
      <c r="A6" s="20"/>
      <c r="B6" s="16"/>
      <c r="C6" s="94"/>
      <c r="D6" s="94"/>
      <c r="E6" s="101" t="s">
        <v>48</v>
      </c>
      <c r="F6" s="102"/>
      <c r="G6" s="87"/>
      <c r="H6" s="16"/>
      <c r="I6" s="16"/>
      <c r="J6" s="16"/>
      <c r="K6" s="94"/>
      <c r="L6" s="94"/>
      <c r="M6" s="96"/>
      <c r="N6" s="15"/>
      <c r="O6" s="6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5" customHeight="1" x14ac:dyDescent="0.35">
      <c r="A7" s="20"/>
      <c r="B7" s="16"/>
      <c r="C7" s="94"/>
      <c r="D7" s="94"/>
      <c r="E7" s="95"/>
      <c r="F7" s="16"/>
      <c r="G7" s="16"/>
      <c r="H7" s="16"/>
      <c r="I7" s="16"/>
      <c r="J7" s="16"/>
      <c r="K7" s="94"/>
      <c r="O7" s="6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5" customHeight="1" x14ac:dyDescent="0.35">
      <c r="A8" s="41" t="s">
        <v>47</v>
      </c>
      <c r="B8" s="87"/>
      <c r="C8" s="104" t="s">
        <v>56</v>
      </c>
      <c r="D8" s="105"/>
      <c r="E8" s="86"/>
      <c r="F8" s="16"/>
      <c r="G8" s="16"/>
      <c r="H8" s="16"/>
      <c r="I8" s="16"/>
      <c r="L8" s="104" t="s">
        <v>57</v>
      </c>
      <c r="M8" s="105"/>
      <c r="N8" s="87"/>
      <c r="O8" s="6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5" customHeight="1" x14ac:dyDescent="0.35">
      <c r="A9" s="20"/>
      <c r="B9" s="16"/>
      <c r="C9" s="94"/>
      <c r="D9" s="94"/>
      <c r="E9" s="95"/>
      <c r="F9" s="16"/>
      <c r="G9" s="16"/>
      <c r="H9" s="16"/>
      <c r="I9" s="16"/>
      <c r="J9" s="16"/>
      <c r="K9" s="94"/>
      <c r="L9" s="94"/>
      <c r="M9" s="96"/>
      <c r="N9" s="15"/>
      <c r="O9" s="6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5" customHeight="1" x14ac:dyDescent="0.35">
      <c r="A10" s="20"/>
      <c r="B10" s="16"/>
      <c r="C10" s="94"/>
      <c r="D10" s="94"/>
      <c r="E10" s="95"/>
      <c r="F10" s="16"/>
      <c r="G10" s="16"/>
      <c r="H10" s="16"/>
      <c r="I10" s="16"/>
      <c r="J10" s="16"/>
      <c r="K10" s="94"/>
      <c r="L10" s="94"/>
      <c r="M10" s="96"/>
      <c r="N10" s="15"/>
      <c r="O10" s="6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5" customHeight="1" x14ac:dyDescent="0.35">
      <c r="A11" s="20"/>
      <c r="B11" s="16"/>
      <c r="C11" s="94"/>
      <c r="D11" s="94"/>
      <c r="E11" s="95"/>
      <c r="F11" s="16"/>
      <c r="G11" s="16"/>
      <c r="H11" s="16"/>
      <c r="I11" s="16"/>
      <c r="J11" s="16"/>
      <c r="K11" s="94"/>
      <c r="L11" s="94"/>
      <c r="M11" s="96"/>
      <c r="N11" s="15"/>
      <c r="O11" s="6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5" customHeight="1" x14ac:dyDescent="0.35">
      <c r="C12" s="13"/>
      <c r="D12" s="13"/>
      <c r="E12" s="13"/>
      <c r="F12" s="13"/>
      <c r="G12" s="13"/>
      <c r="H12" s="13"/>
      <c r="I12" s="13"/>
      <c r="J12" s="13"/>
      <c r="K12" s="15"/>
      <c r="L12" s="15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35">
      <c r="A13" s="41"/>
      <c r="B13" s="16"/>
      <c r="C13" s="13"/>
      <c r="D13" s="16"/>
      <c r="E13" s="13"/>
      <c r="F13" s="13"/>
      <c r="G13" s="16"/>
      <c r="H13" s="13"/>
      <c r="I13" s="13"/>
      <c r="J13" s="16"/>
      <c r="K13" s="15"/>
      <c r="L13" s="15"/>
      <c r="M13" s="15"/>
      <c r="N13" s="15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x14ac:dyDescent="0.35">
      <c r="A14" s="20"/>
      <c r="B14" s="16"/>
      <c r="C14" s="24"/>
      <c r="D14" s="13"/>
      <c r="F14" s="13"/>
      <c r="G14" s="16"/>
      <c r="H14" s="41"/>
      <c r="I14" s="41"/>
      <c r="J14" s="24"/>
      <c r="K14" s="15"/>
      <c r="L14" s="15"/>
      <c r="M14" s="15"/>
      <c r="N14" s="15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35">
      <c r="A15" s="20"/>
      <c r="B15" s="16"/>
      <c r="C15" s="16"/>
      <c r="I15" s="9"/>
      <c r="J15" s="16"/>
      <c r="K15" s="15"/>
      <c r="L15" s="15"/>
      <c r="M15" s="15"/>
      <c r="N15" s="15"/>
      <c r="O15" s="6"/>
      <c r="Q15" s="7"/>
      <c r="R15" s="7"/>
      <c r="S15" s="7"/>
      <c r="T15" s="7"/>
      <c r="U15" s="7"/>
      <c r="V15" s="7"/>
      <c r="W15" s="7"/>
      <c r="X15" s="7"/>
      <c r="Y15" s="7"/>
    </row>
    <row r="16" spans="1:25" ht="14" customHeight="1" x14ac:dyDescent="0.35">
      <c r="A16" s="24"/>
      <c r="B16" s="9"/>
      <c r="C16" s="9"/>
      <c r="D16" s="9"/>
      <c r="F16" s="7"/>
      <c r="G16" s="7"/>
      <c r="H16" s="7"/>
      <c r="J16" s="9"/>
      <c r="K16" s="15"/>
      <c r="L16" s="15"/>
      <c r="M16" s="15"/>
      <c r="N16" s="7">
        <f>-O42</f>
        <v>0</v>
      </c>
      <c r="O16" s="6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31" ht="14" customHeight="1" x14ac:dyDescent="0.35">
      <c r="A17" s="24" t="s">
        <v>49</v>
      </c>
      <c r="B17" s="86"/>
      <c r="D17" s="40" t="s">
        <v>54</v>
      </c>
      <c r="E17" s="88"/>
      <c r="F17" s="40" t="s">
        <v>55</v>
      </c>
      <c r="G17" s="88"/>
      <c r="H17" s="9"/>
      <c r="I17" s="9"/>
      <c r="K17" s="41" t="s">
        <v>50</v>
      </c>
      <c r="L17" s="87"/>
      <c r="O17" s="6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31" ht="14" customHeight="1" x14ac:dyDescent="0.35">
      <c r="A18" s="24"/>
      <c r="B18" s="9"/>
      <c r="C18" s="9"/>
      <c r="D18" s="9"/>
      <c r="E18" s="9"/>
      <c r="F18" s="39"/>
      <c r="G18" s="39"/>
      <c r="H18" s="39"/>
      <c r="I18" s="9"/>
      <c r="J18" s="9"/>
      <c r="K18" s="15"/>
      <c r="L18" s="15"/>
      <c r="M18" s="15"/>
      <c r="N18" s="15"/>
      <c r="O18" s="6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31" x14ac:dyDescent="0.35">
      <c r="A19" s="24" t="s">
        <v>46</v>
      </c>
      <c r="B19" s="15"/>
      <c r="C19" s="106"/>
      <c r="D19" s="107"/>
      <c r="E19" s="89"/>
      <c r="F19" s="108"/>
      <c r="G19" s="108"/>
      <c r="H19" s="89"/>
      <c r="I19" s="106"/>
      <c r="J19" s="109"/>
      <c r="K19" s="107"/>
      <c r="L19" s="89"/>
      <c r="M19" s="15"/>
      <c r="N19" s="15"/>
      <c r="O19" s="6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31" x14ac:dyDescent="0.35">
      <c r="A20" s="24" t="s">
        <v>10</v>
      </c>
      <c r="B20" s="24" t="s">
        <v>41</v>
      </c>
      <c r="C20" s="87"/>
      <c r="D20" s="24" t="s">
        <v>45</v>
      </c>
      <c r="E20" s="87"/>
      <c r="F20" s="23"/>
      <c r="G20" s="93" t="s">
        <v>43</v>
      </c>
      <c r="H20" s="87"/>
      <c r="I20" s="16"/>
      <c r="J20" s="110" t="s">
        <v>44</v>
      </c>
      <c r="K20" s="111"/>
      <c r="L20" s="87"/>
      <c r="M20" s="16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31" x14ac:dyDescent="0.35">
      <c r="A21" s="24"/>
      <c r="B21" s="24"/>
      <c r="C21" s="17"/>
      <c r="D21" s="24"/>
      <c r="E21" s="17"/>
      <c r="F21" s="17"/>
      <c r="G21" s="23"/>
      <c r="H21" s="23"/>
      <c r="I21" s="23"/>
      <c r="J21" s="23"/>
      <c r="K21" s="23"/>
      <c r="L21" s="15"/>
      <c r="M21" s="16"/>
      <c r="N21" s="17"/>
      <c r="O21" s="17"/>
      <c r="P21" s="17"/>
      <c r="Q21" s="17"/>
      <c r="R21" s="15"/>
      <c r="S21" s="16"/>
      <c r="T21" s="18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x14ac:dyDescent="0.35">
      <c r="A22" s="38" t="s">
        <v>18</v>
      </c>
      <c r="B22" s="37"/>
      <c r="C22" s="10" t="s">
        <v>68</v>
      </c>
      <c r="D22" s="11"/>
      <c r="E22" s="11"/>
      <c r="F22" s="11"/>
      <c r="G22" s="43" t="s">
        <v>0</v>
      </c>
      <c r="H22" s="43" t="s">
        <v>58</v>
      </c>
      <c r="I22" s="80"/>
      <c r="J22" s="103" t="s">
        <v>65</v>
      </c>
      <c r="K22" s="103"/>
      <c r="L22" s="103"/>
      <c r="M22" s="103"/>
      <c r="N22" s="103"/>
      <c r="O22" s="103"/>
      <c r="P22" s="18"/>
      <c r="Q22" s="7"/>
      <c r="R22" s="42"/>
      <c r="S22" s="7"/>
      <c r="T22" s="7"/>
      <c r="U22" s="7"/>
      <c r="V22" s="7"/>
      <c r="W22" s="7"/>
      <c r="X22" s="7"/>
      <c r="Y22" s="7"/>
      <c r="Z22" s="7"/>
      <c r="AA22" s="7"/>
    </row>
    <row r="23" spans="1:31" ht="26" x14ac:dyDescent="0.35">
      <c r="A23" s="34" t="s">
        <v>25</v>
      </c>
      <c r="B23" s="85">
        <f>G6</f>
        <v>0</v>
      </c>
      <c r="C23" s="45" t="str">
        <f>IF(B23&lt;=20,"PASS","FAIL")</f>
        <v>PASS</v>
      </c>
      <c r="D23" s="83"/>
      <c r="E23" s="12"/>
      <c r="F23" s="12"/>
      <c r="G23" s="44" t="str">
        <f>'20m T&amp;D ASMS calculation sheet'!A13</f>
        <v>Steer</v>
      </c>
      <c r="H23" s="44">
        <f>'20m T&amp;D ASMS calculation sheet'!B13</f>
        <v>0</v>
      </c>
      <c r="I23" s="81"/>
      <c r="J23" s="28" t="s">
        <v>59</v>
      </c>
      <c r="K23" s="28" t="s">
        <v>60</v>
      </c>
      <c r="L23" s="28" t="s">
        <v>61</v>
      </c>
      <c r="M23" s="29" t="s">
        <v>3</v>
      </c>
      <c r="N23" s="28" t="s">
        <v>62</v>
      </c>
      <c r="O23" s="29" t="s">
        <v>3</v>
      </c>
      <c r="P23" s="18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31" x14ac:dyDescent="0.35">
      <c r="A24" s="34" t="s">
        <v>12</v>
      </c>
      <c r="B24" s="85">
        <f>B8</f>
        <v>0</v>
      </c>
      <c r="C24" s="45" t="str">
        <f>IF(B24&lt;=4.3,"PASS","FAIL")</f>
        <v>PASS</v>
      </c>
      <c r="D24" s="83"/>
      <c r="E24" s="12"/>
      <c r="F24" s="12"/>
      <c r="G24" s="44" t="str">
        <f>'20m T&amp;D ASMS calculation sheet'!A14</f>
        <v>Drive</v>
      </c>
      <c r="H24" s="44">
        <f>'20m T&amp;D ASMS calculation sheet'!B14</f>
        <v>0</v>
      </c>
      <c r="I24" s="81"/>
      <c r="J24" s="30" t="str">
        <f>'20m T&amp;D ASMS calculation sheet'!D13</f>
        <v>1-7</v>
      </c>
      <c r="K24" s="31">
        <f>'20m T&amp;D ASMS calculation sheet'!E13</f>
        <v>0</v>
      </c>
      <c r="L24" s="31">
        <f>'20m T&amp;D ASMS calculation sheet'!H13</f>
        <v>0</v>
      </c>
      <c r="M24" s="32" t="str">
        <f>'20m T&amp;D ASMS calculation sheet'!I13</f>
        <v>PASS</v>
      </c>
      <c r="N24" s="31">
        <f>'20m T&amp;D ASMS calculation sheet'!K13</f>
        <v>0</v>
      </c>
      <c r="O24" s="32" t="str">
        <f>'20m T&amp;D ASMS calculation sheet'!L13</f>
        <v>PASS</v>
      </c>
      <c r="P24" s="18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31" x14ac:dyDescent="0.35">
      <c r="A25" s="34" t="s">
        <v>9</v>
      </c>
      <c r="B25" s="90">
        <v>2.5</v>
      </c>
      <c r="C25" s="45" t="str">
        <f>IF(B25&lt;=2.5,"PASS","FAIL")</f>
        <v>PASS</v>
      </c>
      <c r="D25" s="83"/>
      <c r="E25" s="12"/>
      <c r="F25" s="12"/>
      <c r="G25" s="44" t="str">
        <f>'20m T&amp;D ASMS calculation sheet'!A15</f>
        <v>Trailer front</v>
      </c>
      <c r="H25" s="44">
        <f>'20m T&amp;D ASMS calculation sheet'!B15</f>
        <v>0</v>
      </c>
      <c r="I25" s="81"/>
      <c r="J25" s="31" t="str">
        <f>'20m T&amp;D ASMS calculation sheet'!D14</f>
        <v>1-3</v>
      </c>
      <c r="K25" s="31">
        <f>'20m T&amp;D ASMS calculation sheet'!E14</f>
        <v>0</v>
      </c>
      <c r="L25" s="31">
        <f>'20m T&amp;D ASMS calculation sheet'!H14</f>
        <v>0</v>
      </c>
      <c r="M25" s="32" t="str">
        <f>'20m T&amp;D ASMS calculation sheet'!I14</f>
        <v>PASS</v>
      </c>
      <c r="N25" s="31">
        <f>'20m T&amp;D ASMS calculation sheet'!K14</f>
        <v>0</v>
      </c>
      <c r="O25" s="32" t="str">
        <f>'20m T&amp;D ASMS calculation sheet'!L14</f>
        <v>PASS</v>
      </c>
      <c r="P25" s="18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31" x14ac:dyDescent="0.35">
      <c r="A26" s="35"/>
      <c r="B26" s="36"/>
      <c r="C26" s="19"/>
      <c r="D26" s="12"/>
      <c r="E26" s="12"/>
      <c r="F26" s="12"/>
      <c r="G26" s="44" t="str">
        <f>'20m T&amp;D ASMS calculation sheet'!A16</f>
        <v>Trailer rear</v>
      </c>
      <c r="H26" s="44">
        <f>'20m T&amp;D ASMS calculation sheet'!B16</f>
        <v>0</v>
      </c>
      <c r="I26" s="81"/>
      <c r="J26" s="31" t="str">
        <f>'20m T&amp;D ASMS calculation sheet'!D15</f>
        <v>1-5</v>
      </c>
      <c r="K26" s="31">
        <f>'20m T&amp;D ASMS calculation sheet'!E15</f>
        <v>0</v>
      </c>
      <c r="L26" s="31">
        <f>'20m T&amp;D ASMS calculation sheet'!H15</f>
        <v>0</v>
      </c>
      <c r="M26" s="32" t="str">
        <f>'20m T&amp;D ASMS calculation sheet'!I15</f>
        <v>PASS</v>
      </c>
      <c r="N26" s="31">
        <f>'20m T&amp;D ASMS calculation sheet'!K15</f>
        <v>0</v>
      </c>
      <c r="O26" s="32" t="str">
        <f>'20m T&amp;D ASMS calculation sheet'!L15</f>
        <v>PASS</v>
      </c>
      <c r="P26" s="18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31" ht="14.5" customHeight="1" x14ac:dyDescent="0.35">
      <c r="A27" s="14" t="s">
        <v>19</v>
      </c>
      <c r="B27" s="16"/>
      <c r="C27" s="5" t="s">
        <v>63</v>
      </c>
      <c r="D27" s="5" t="s">
        <v>64</v>
      </c>
      <c r="E27" s="9"/>
      <c r="F27" s="9"/>
      <c r="G27" s="5" t="str">
        <f>'20m T&amp;D ASMS calculation sheet'!A17</f>
        <v>Total Mass</v>
      </c>
      <c r="H27" s="5">
        <f>'20m T&amp;D ASMS calculation sheet'!B17</f>
        <v>0</v>
      </c>
      <c r="I27" s="82"/>
      <c r="J27" s="31" t="str">
        <f>'20m T&amp;D ASMS calculation sheet'!D16</f>
        <v>2-5</v>
      </c>
      <c r="K27" s="31">
        <f>'20m T&amp;D ASMS calculation sheet'!E16</f>
        <v>0</v>
      </c>
      <c r="L27" s="31">
        <f>'20m T&amp;D ASMS calculation sheet'!H16</f>
        <v>0</v>
      </c>
      <c r="M27" s="32" t="str">
        <f>'20m T&amp;D ASMS calculation sheet'!I16</f>
        <v>PASS</v>
      </c>
      <c r="N27" s="31">
        <f>'20m T&amp;D ASMS calculation sheet'!K16</f>
        <v>0</v>
      </c>
      <c r="O27" s="32" t="str">
        <f>'20m T&amp;D ASMS calculation sheet'!L16</f>
        <v>PASS</v>
      </c>
      <c r="P27" s="18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31" x14ac:dyDescent="0.35">
      <c r="A28" s="21" t="s">
        <v>13</v>
      </c>
      <c r="B28" s="22">
        <f>MAX(E8,N8)</f>
        <v>0</v>
      </c>
      <c r="C28" s="45" t="str">
        <f>IF(B28&lt;=3,"PASS","FAIL")</f>
        <v>PASS</v>
      </c>
      <c r="D28" s="45" t="str">
        <f>IF(B28&lt;=3.3,"PASS","FAIL")</f>
        <v>PASS</v>
      </c>
      <c r="E28" s="84"/>
      <c r="F28" s="12"/>
      <c r="G28" s="12"/>
      <c r="H28" s="12"/>
      <c r="I28" s="12"/>
      <c r="J28" s="31" t="str">
        <f>'20m T&amp;D ASMS calculation sheet'!D17</f>
        <v>2-7</v>
      </c>
      <c r="K28" s="31">
        <f>'20m T&amp;D ASMS calculation sheet'!E17</f>
        <v>0</v>
      </c>
      <c r="L28" s="31">
        <f>'20m T&amp;D ASMS calculation sheet'!H17</f>
        <v>0</v>
      </c>
      <c r="M28" s="32" t="str">
        <f>'20m T&amp;D ASMS calculation sheet'!I17</f>
        <v>PASS</v>
      </c>
      <c r="N28" s="31">
        <f>'20m T&amp;D ASMS calculation sheet'!K17</f>
        <v>0</v>
      </c>
      <c r="O28" s="32" t="str">
        <f>'20m T&amp;D ASMS calculation sheet'!L17</f>
        <v>PASS</v>
      </c>
      <c r="P28" s="18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31" x14ac:dyDescent="0.35">
      <c r="A29" s="21" t="s">
        <v>14</v>
      </c>
      <c r="B29" s="22">
        <f>B17</f>
        <v>0</v>
      </c>
      <c r="C29" s="97" t="str">
        <f>IF(B29&lt;=1.4,"PASS","FAIL")</f>
        <v>PASS</v>
      </c>
      <c r="D29" s="98"/>
      <c r="E29" s="84"/>
      <c r="F29" s="12"/>
      <c r="G29" s="12"/>
      <c r="H29" s="12"/>
      <c r="I29" s="12"/>
      <c r="J29" s="31" t="str">
        <f>'20m T&amp;D ASMS calculation sheet'!D18</f>
        <v>4-7</v>
      </c>
      <c r="K29" s="31">
        <f>'20m T&amp;D ASMS calculation sheet'!E18</f>
        <v>0</v>
      </c>
      <c r="L29" s="31">
        <f>'20m T&amp;D ASMS calculation sheet'!H18</f>
        <v>0</v>
      </c>
      <c r="M29" s="32" t="str">
        <f>'20m T&amp;D ASMS calculation sheet'!I18</f>
        <v>PASS</v>
      </c>
      <c r="N29" s="31">
        <f>'20m T&amp;D ASMS calculation sheet'!K18</f>
        <v>0</v>
      </c>
      <c r="O29" s="32" t="str">
        <f>'20m T&amp;D ASMS calculation sheet'!L18</f>
        <v>PASS</v>
      </c>
      <c r="P29" s="18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31" x14ac:dyDescent="0.35">
      <c r="A30" s="21" t="s">
        <v>20</v>
      </c>
      <c r="B30" s="22">
        <f>(C19+E19/2)</f>
        <v>0</v>
      </c>
      <c r="C30" s="97" t="str">
        <f>IF(B30&gt;=4.5,(IF(B30&lt;=5.8,"PASS","FAIL")),"FAIL")</f>
        <v>FAIL</v>
      </c>
      <c r="D30" s="98"/>
      <c r="E30" s="84"/>
      <c r="F30" s="12"/>
      <c r="G30" s="12"/>
      <c r="H30" s="12"/>
      <c r="I30" s="12"/>
      <c r="J30" s="18"/>
      <c r="K30" s="33" t="s">
        <v>22</v>
      </c>
      <c r="L30" s="99" t="str">
        <f>'20m T&amp;D ASMS calculation sheet'!H19</f>
        <v>PASS</v>
      </c>
      <c r="M30" s="99"/>
      <c r="N30" s="99" t="str">
        <f>'20m T&amp;D ASMS calculation sheet'!K19</f>
        <v>PASS</v>
      </c>
      <c r="O30" s="99"/>
      <c r="P30" s="18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31" x14ac:dyDescent="0.35">
      <c r="A31" s="21" t="s">
        <v>15</v>
      </c>
      <c r="B31" s="22">
        <f>G17</f>
        <v>0</v>
      </c>
      <c r="C31" s="45" t="str">
        <f>IF(B31&gt;=3.3,(IF(B31&lt;=5.6,"PASS","FAIL")),"FAIL")</f>
        <v>FAIL</v>
      </c>
      <c r="D31" s="45" t="str">
        <f>IF(B31&gt;=3.3,(IF(B31&lt;=5,"PASS","FAIL")),"FAIL")</f>
        <v>FAIL</v>
      </c>
      <c r="E31" s="84"/>
      <c r="F31" s="12"/>
      <c r="G31" s="12"/>
      <c r="H31" s="12"/>
      <c r="I31" s="12"/>
      <c r="J31" s="18"/>
      <c r="K31" s="18"/>
      <c r="L31" s="18"/>
      <c r="M31" s="18"/>
      <c r="N31" s="18"/>
      <c r="O31" s="18"/>
      <c r="P31" s="16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31" x14ac:dyDescent="0.35">
      <c r="A32" s="21" t="s">
        <v>21</v>
      </c>
      <c r="B32" s="22">
        <f>(H19/2+I19+L19/2)</f>
        <v>0</v>
      </c>
      <c r="C32" s="45" t="str">
        <f>IF(B32&gt;=4.5,(IF(B32&lt;=6.95,"PASS","FAIL")),"FAIL")</f>
        <v>FAIL</v>
      </c>
      <c r="D32" s="45" t="str">
        <f>IF(B32&gt;=5.5,(IF(B32&lt;=6.95,"PASS","FAIL")),"FAIL")</f>
        <v>FAIL</v>
      </c>
      <c r="E32" s="84"/>
      <c r="F32" s="12"/>
      <c r="G32" s="12"/>
      <c r="H32" s="12"/>
      <c r="I32" s="12"/>
      <c r="J32" s="18"/>
      <c r="K32" s="100" t="str">
        <f>'20m T&amp;D ASMS calculation sheet'!G21</f>
        <v>Drive mass at least 20% total</v>
      </c>
      <c r="L32" s="100"/>
      <c r="M32" s="100"/>
      <c r="N32" s="22" t="str">
        <f>'20m T&amp;D ASMS calculation sheet'!J21</f>
        <v>PASS</v>
      </c>
      <c r="O32" s="16"/>
      <c r="P32" s="18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5" x14ac:dyDescent="0.35">
      <c r="A33" s="21" t="s">
        <v>16</v>
      </c>
      <c r="B33" s="22">
        <f>L17</f>
        <v>0</v>
      </c>
      <c r="C33" s="97" t="str">
        <f>IF(B33&lt;=1.45,"PASS","FAIL")</f>
        <v>PASS</v>
      </c>
      <c r="D33" s="98"/>
      <c r="E33" s="84"/>
      <c r="F33" s="12"/>
      <c r="G33" s="11"/>
      <c r="H33" s="18"/>
      <c r="I33" s="18"/>
      <c r="J33" s="18"/>
      <c r="K33" s="18"/>
      <c r="L33" s="18"/>
      <c r="M33" s="18"/>
      <c r="N33" s="18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x14ac:dyDescent="0.35">
      <c r="A34" s="21" t="s">
        <v>17</v>
      </c>
      <c r="B34" s="22">
        <f>E17</f>
        <v>0</v>
      </c>
      <c r="C34" s="97" t="str">
        <f>IF(B34&gt;=1.5,(IF(B34&lt;=1.65,"PASS","FAIL")),"FAIL")</f>
        <v>FAIL</v>
      </c>
      <c r="D34" s="98"/>
      <c r="E34" s="84"/>
      <c r="F34" s="12"/>
      <c r="G34" s="12"/>
      <c r="H34" s="18"/>
      <c r="I34" s="18"/>
      <c r="J34" s="18"/>
      <c r="K34" s="18"/>
      <c r="L34" s="18"/>
      <c r="M34" s="18"/>
      <c r="N34" s="18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x14ac:dyDescent="0.35">
      <c r="A35" s="7"/>
      <c r="B35" s="7"/>
      <c r="C35" s="7"/>
      <c r="D35" s="7"/>
      <c r="E35" s="7"/>
      <c r="F35" s="7"/>
      <c r="G35" s="12"/>
      <c r="H35" s="18"/>
      <c r="I35" s="18"/>
      <c r="J35" s="18"/>
      <c r="K35" s="18"/>
      <c r="L35" s="18"/>
      <c r="M35" s="18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x14ac:dyDescent="0.35">
      <c r="A36" s="91" t="s">
        <v>69</v>
      </c>
      <c r="B36" s="7"/>
      <c r="C36" s="7"/>
      <c r="D36" s="7"/>
      <c r="E36" s="7"/>
      <c r="F36" s="7"/>
      <c r="G36" s="12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x14ac:dyDescent="0.35">
      <c r="A37" s="7" t="s">
        <v>70</v>
      </c>
      <c r="B37" s="7"/>
      <c r="C37" s="7"/>
      <c r="D37" s="7"/>
      <c r="E37" s="7"/>
      <c r="F37" s="7"/>
      <c r="G37" s="1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x14ac:dyDescent="0.35">
      <c r="A38" s="7"/>
      <c r="B38" s="7"/>
      <c r="C38" s="7"/>
      <c r="D38" s="7"/>
      <c r="E38" s="7"/>
      <c r="F38" s="7"/>
      <c r="G38" s="12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35">
      <c r="A39" s="7" t="s">
        <v>71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x14ac:dyDescent="0.35">
      <c r="A40" s="7" t="s">
        <v>73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x14ac:dyDescent="0.35">
      <c r="A41" s="7" t="s">
        <v>74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x14ac:dyDescent="0.35">
      <c r="A42" s="7" t="s">
        <v>75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x14ac:dyDescent="0.35">
      <c r="A43" s="7" t="s">
        <v>76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x14ac:dyDescent="0.35">
      <c r="A44" s="7" t="s">
        <v>77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x14ac:dyDescent="0.35">
      <c r="A45" s="7" t="s">
        <v>82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x14ac:dyDescent="0.35">
      <c r="A47" s="7" t="s">
        <v>83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x14ac:dyDescent="0.35">
      <c r="A48" s="7" t="s">
        <v>84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x14ac:dyDescent="0.35">
      <c r="A50" s="92" t="s">
        <v>72</v>
      </c>
      <c r="B50" s="9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x14ac:dyDescent="0.35">
      <c r="A51" s="7" t="s">
        <v>79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x14ac:dyDescent="0.35">
      <c r="A52" s="4" t="s">
        <v>85</v>
      </c>
      <c r="R52" s="7"/>
      <c r="S52" s="7"/>
      <c r="T52" s="7"/>
      <c r="U52" s="7"/>
      <c r="V52" s="7"/>
      <c r="W52" s="7"/>
      <c r="X52" s="7"/>
      <c r="Y52" s="7"/>
    </row>
    <row r="53" spans="1:25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x14ac:dyDescent="0.35">
      <c r="A54" s="92" t="s">
        <v>80</v>
      </c>
      <c r="G54" s="7"/>
      <c r="H54" s="7"/>
      <c r="I54" s="7"/>
      <c r="J54" s="7"/>
      <c r="K54" s="7"/>
      <c r="L54" s="7"/>
      <c r="M54" s="7"/>
    </row>
    <row r="55" spans="1:25" x14ac:dyDescent="0.35">
      <c r="A55" s="4" t="s">
        <v>81</v>
      </c>
    </row>
    <row r="56" spans="1:25" x14ac:dyDescent="0.35">
      <c r="A56" s="4" t="s">
        <v>78</v>
      </c>
    </row>
  </sheetData>
  <sheetProtection algorithmName="SHA-512" hashValue="+gEkDSyjyk8p2HDlVHhRex+w43Ns53ZYXMGAS5wFTT+DuqLBAhEcvlq23QuHPSPJG3hL+sZX4QSRT908TpCeTQ==" saltValue="aO/tlGjWhx84aIUyrKn9hQ==" spinCount="100000" sheet="1" selectLockedCells="1"/>
  <protectedRanges>
    <protectedRange sqref="C14:D14 B13:B15 C13:E13 J13:J15 F13:I14 A17:B17 K17:L17 B8 C15" name="Range1"/>
  </protectedRanges>
  <mergeCells count="15">
    <mergeCell ref="E6:F6"/>
    <mergeCell ref="J22:O22"/>
    <mergeCell ref="C8:D8"/>
    <mergeCell ref="C19:D19"/>
    <mergeCell ref="F19:G19"/>
    <mergeCell ref="I19:K19"/>
    <mergeCell ref="L8:M8"/>
    <mergeCell ref="J20:K20"/>
    <mergeCell ref="C34:D34"/>
    <mergeCell ref="N30:O30"/>
    <mergeCell ref="K32:M32"/>
    <mergeCell ref="C29:D29"/>
    <mergeCell ref="C30:D30"/>
    <mergeCell ref="C33:D33"/>
    <mergeCell ref="L30:M30"/>
  </mergeCells>
  <conditionalFormatting sqref="L30:M30 P31 N32:O32 E23:I26 M24:M29 O24:O29 G34:G38 D28:I28 D31:I32">
    <cfRule type="containsText" dxfId="51" priority="35" operator="containsText" text="FAIL">
      <formula>NOT(ISERROR(SEARCH("FAIL",D23)))</formula>
    </cfRule>
    <cfRule type="containsText" dxfId="50" priority="36" operator="containsText" text="PASS">
      <formula>NOT(ISERROR(SEARCH("PASS",D23)))</formula>
    </cfRule>
  </conditionalFormatting>
  <conditionalFormatting sqref="N30:O30">
    <cfRule type="containsText" dxfId="49" priority="31" operator="containsText" text="FAIL">
      <formula>NOT(ISERROR(SEARCH("FAIL",N30)))</formula>
    </cfRule>
    <cfRule type="containsText" dxfId="48" priority="32" operator="containsText" text="PASS">
      <formula>NOT(ISERROR(SEARCH("PASS",N30)))</formula>
    </cfRule>
  </conditionalFormatting>
  <conditionalFormatting sqref="C34">
    <cfRule type="containsText" dxfId="47" priority="5" operator="containsText" text="FAIL">
      <formula>NOT(ISERROR(SEARCH("FAIL",C34)))</formula>
    </cfRule>
    <cfRule type="containsText" dxfId="46" priority="6" operator="containsText" text="PASS">
      <formula>NOT(ISERROR(SEARCH("PASS",C34)))</formula>
    </cfRule>
  </conditionalFormatting>
  <conditionalFormatting sqref="D23:D26">
    <cfRule type="containsText" dxfId="45" priority="25" operator="containsText" text="FAIL">
      <formula>NOT(ISERROR(SEARCH("FAIL",D23)))</formula>
    </cfRule>
    <cfRule type="containsText" dxfId="44" priority="26" operator="containsText" text="PASS">
      <formula>NOT(ISERROR(SEARCH("PASS",D23)))</formula>
    </cfRule>
  </conditionalFormatting>
  <conditionalFormatting sqref="C28">
    <cfRule type="containsText" dxfId="43" priority="21" operator="containsText" text="FAIL">
      <formula>NOT(ISERROR(SEARCH("FAIL",C28)))</formula>
    </cfRule>
    <cfRule type="containsText" dxfId="42" priority="22" operator="containsText" text="PASS">
      <formula>NOT(ISERROR(SEARCH("PASS",C28)))</formula>
    </cfRule>
  </conditionalFormatting>
  <conditionalFormatting sqref="C29:C30">
    <cfRule type="containsText" dxfId="41" priority="17" operator="containsText" text="FAIL">
      <formula>NOT(ISERROR(SEARCH("FAIL",C29)))</formula>
    </cfRule>
    <cfRule type="containsText" dxfId="40" priority="18" operator="containsText" text="PASS">
      <formula>NOT(ISERROR(SEARCH("PASS",C29)))</formula>
    </cfRule>
  </conditionalFormatting>
  <conditionalFormatting sqref="C31">
    <cfRule type="containsText" dxfId="39" priority="15" operator="containsText" text="FAIL">
      <formula>NOT(ISERROR(SEARCH("FAIL",C31)))</formula>
    </cfRule>
    <cfRule type="containsText" dxfId="38" priority="16" operator="containsText" text="PASS">
      <formula>NOT(ISERROR(SEARCH("PASS",C31)))</formula>
    </cfRule>
  </conditionalFormatting>
  <conditionalFormatting sqref="C32">
    <cfRule type="containsText" dxfId="37" priority="11" operator="containsText" text="FAIL">
      <formula>NOT(ISERROR(SEARCH("FAIL",C32)))</formula>
    </cfRule>
    <cfRule type="containsText" dxfId="36" priority="12" operator="containsText" text="PASS">
      <formula>NOT(ISERROR(SEARCH("PASS",C32)))</formula>
    </cfRule>
  </conditionalFormatting>
  <conditionalFormatting sqref="C33">
    <cfRule type="containsText" dxfId="35" priority="7" operator="containsText" text="FAIL">
      <formula>NOT(ISERROR(SEARCH("FAIL",C33)))</formula>
    </cfRule>
    <cfRule type="containsText" dxfId="34" priority="8" operator="containsText" text="PASS">
      <formula>NOT(ISERROR(SEARCH("PASS",C33)))</formula>
    </cfRule>
  </conditionalFormatting>
  <conditionalFormatting sqref="C23:C25">
    <cfRule type="containsText" dxfId="33" priority="1" operator="containsText" text="FAIL">
      <formula>NOT(ISERROR(SEARCH("FAIL",C23)))</formula>
    </cfRule>
    <cfRule type="containsText" dxfId="32" priority="2" operator="containsText" text="PASS">
      <formula>NOT(ISERROR(SEARCH("PASS",C23)))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D23B-AA45-4E98-ABCA-9A510EB4CAD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EFAC5-0538-41F7-9563-D39ACB7A2B44}">
  <dimension ref="A1:V34"/>
  <sheetViews>
    <sheetView topLeftCell="A2" workbookViewId="0">
      <selection activeCell="H8" sqref="H8"/>
    </sheetView>
  </sheetViews>
  <sheetFormatPr defaultColWidth="9.1796875" defaultRowHeight="14.5" x14ac:dyDescent="0.35"/>
  <cols>
    <col min="1" max="1" width="36" style="1" customWidth="1"/>
    <col min="2" max="2" width="10.54296875" style="1" customWidth="1"/>
    <col min="3" max="3" width="11.81640625" style="1" customWidth="1"/>
    <col min="4" max="4" width="9.6328125" style="1" customWidth="1"/>
    <col min="5" max="5" width="11" style="1" customWidth="1"/>
    <col min="6" max="6" width="10.81640625" style="1" customWidth="1"/>
    <col min="7" max="7" width="9.1796875" style="1" customWidth="1"/>
    <col min="8" max="8" width="10.81640625" style="1" customWidth="1"/>
    <col min="9" max="9" width="9.1796875" style="1" customWidth="1"/>
    <col min="10" max="10" width="4.36328125" style="1" customWidth="1"/>
    <col min="11" max="11" width="10.90625" style="1" customWidth="1"/>
    <col min="12" max="12" width="9.1796875" style="1" customWidth="1"/>
    <col min="13" max="13" width="5.1796875" style="1" customWidth="1"/>
    <col min="14" max="14" width="7.81640625" style="1" customWidth="1"/>
    <col min="15" max="15" width="11.54296875" style="1" customWidth="1"/>
    <col min="16" max="16" width="22" style="1" customWidth="1"/>
    <col min="17" max="17" width="11.54296875" style="1" customWidth="1"/>
    <col min="18" max="18" width="11" style="1" customWidth="1"/>
    <col min="19" max="19" width="17.453125" style="1" customWidth="1"/>
    <col min="20" max="21" width="9.1796875" style="1"/>
    <col min="22" max="22" width="18.1796875" style="1" customWidth="1"/>
    <col min="23" max="23" width="9.1796875" style="1"/>
    <col min="24" max="24" width="11.81640625" style="1" customWidth="1"/>
    <col min="25" max="16384" width="9.1796875" style="1"/>
  </cols>
  <sheetData>
    <row r="1" spans="1:22" x14ac:dyDescent="0.35">
      <c r="A1" s="112" t="s">
        <v>66</v>
      </c>
      <c r="B1" s="11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35">
      <c r="A2" s="4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35">
      <c r="A3" s="113" t="s">
        <v>24</v>
      </c>
      <c r="B3" s="113"/>
      <c r="C3" s="113"/>
      <c r="D3" s="113"/>
      <c r="E3" s="113"/>
      <c r="F3" s="113"/>
      <c r="G3" s="113"/>
      <c r="H3" s="11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35">
      <c r="A4" s="65" t="s">
        <v>0</v>
      </c>
      <c r="B4" s="47" t="s">
        <v>41</v>
      </c>
      <c r="C4" s="66"/>
      <c r="D4" s="47" t="s">
        <v>42</v>
      </c>
      <c r="E4" s="66"/>
      <c r="F4" s="47" t="s">
        <v>43</v>
      </c>
      <c r="G4" s="47"/>
      <c r="H4" s="47" t="s">
        <v>44</v>
      </c>
      <c r="I4" s="4"/>
      <c r="J4" s="4"/>
      <c r="K4" s="4"/>
      <c r="L4" s="4"/>
      <c r="M4" s="4"/>
      <c r="N4" s="4"/>
      <c r="O4" s="4"/>
      <c r="P4" s="7"/>
      <c r="Q4" s="7"/>
      <c r="R4" s="4"/>
      <c r="S4" s="4"/>
      <c r="T4" s="4"/>
      <c r="U4" s="4"/>
      <c r="V4" s="4"/>
    </row>
    <row r="5" spans="1:22" ht="15.5" customHeight="1" x14ac:dyDescent="0.35">
      <c r="A5" s="64" t="s">
        <v>40</v>
      </c>
      <c r="B5" s="67">
        <v>1</v>
      </c>
      <c r="C5" s="68"/>
      <c r="D5" s="67" t="s">
        <v>51</v>
      </c>
      <c r="E5" s="68"/>
      <c r="F5" s="67" t="s">
        <v>52</v>
      </c>
      <c r="G5" s="68"/>
      <c r="H5" s="67" t="s">
        <v>53</v>
      </c>
      <c r="I5" s="4"/>
      <c r="J5" s="4"/>
      <c r="K5" s="4"/>
      <c r="L5" s="4"/>
      <c r="M5" s="4"/>
      <c r="N5" s="4"/>
      <c r="O5" s="4"/>
      <c r="P5" s="7"/>
      <c r="Q5" s="7"/>
      <c r="R5" s="4"/>
      <c r="S5" s="4"/>
      <c r="T5" s="4"/>
      <c r="U5" s="4"/>
      <c r="V5" s="4"/>
    </row>
    <row r="6" spans="1:22" x14ac:dyDescent="0.35">
      <c r="A6" s="65" t="s">
        <v>1</v>
      </c>
      <c r="B6" s="47">
        <v>1</v>
      </c>
      <c r="C6" s="119"/>
      <c r="D6" s="47">
        <v>2</v>
      </c>
      <c r="E6" s="119"/>
      <c r="F6" s="47">
        <v>2</v>
      </c>
      <c r="G6" s="119"/>
      <c r="H6" s="47">
        <v>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5">
      <c r="A7" s="65" t="s">
        <v>10</v>
      </c>
      <c r="B7" s="3">
        <f>'20m T&amp;D checksheet '!$C$20</f>
        <v>0</v>
      </c>
      <c r="C7" s="119"/>
      <c r="D7" s="3">
        <f>'20m T&amp;D checksheet '!$E$20</f>
        <v>0</v>
      </c>
      <c r="E7" s="119"/>
      <c r="F7" s="3">
        <f>'20m T&amp;D checksheet '!$H$20</f>
        <v>0</v>
      </c>
      <c r="G7" s="119"/>
      <c r="H7" s="3">
        <f>'20m T&amp;D checksheet '!$L$20</f>
        <v>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x14ac:dyDescent="0.35">
      <c r="A8" s="65" t="s">
        <v>2</v>
      </c>
      <c r="B8" s="47">
        <v>0</v>
      </c>
      <c r="C8" s="3">
        <f>'20m T&amp;D checksheet '!$C$19</f>
        <v>0</v>
      </c>
      <c r="D8" s="3">
        <f>'20m T&amp;D checksheet '!$E$19</f>
        <v>0</v>
      </c>
      <c r="E8" s="3">
        <f>'20m T&amp;D checksheet '!$F$19</f>
        <v>0</v>
      </c>
      <c r="F8" s="3">
        <f>'20m T&amp;D checksheet '!$H$19</f>
        <v>0</v>
      </c>
      <c r="G8" s="3">
        <f>'20m T&amp;D checksheet '!$I$19</f>
        <v>0</v>
      </c>
      <c r="H8" s="3">
        <f>'20m T&amp;D checksheet '!$L$19</f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s="72" customFormat="1" ht="36" customHeight="1" x14ac:dyDescent="0.35">
      <c r="A9" s="70"/>
      <c r="B9" s="69"/>
      <c r="C9" s="5" t="s">
        <v>35</v>
      </c>
      <c r="D9" s="5" t="s">
        <v>36</v>
      </c>
      <c r="E9" s="5" t="s">
        <v>37</v>
      </c>
      <c r="F9" s="5" t="s">
        <v>38</v>
      </c>
      <c r="G9" s="5" t="s">
        <v>39</v>
      </c>
      <c r="H9" s="5" t="s">
        <v>38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35">
      <c r="A11" s="115" t="s">
        <v>67</v>
      </c>
      <c r="B11" s="115"/>
      <c r="C11" s="115"/>
      <c r="D11" s="115"/>
      <c r="E11" s="115"/>
      <c r="F11" s="115"/>
      <c r="G11" s="115"/>
      <c r="H11" s="115"/>
      <c r="I11" s="115"/>
      <c r="J11" s="4"/>
      <c r="K11" s="48"/>
      <c r="L11" s="49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29" x14ac:dyDescent="0.35">
      <c r="A12" s="73" t="s">
        <v>4</v>
      </c>
      <c r="B12" s="74" t="s">
        <v>5</v>
      </c>
      <c r="C12" s="74" t="s">
        <v>23</v>
      </c>
      <c r="D12" s="74" t="s">
        <v>26</v>
      </c>
      <c r="E12" s="74" t="s">
        <v>32</v>
      </c>
      <c r="F12" s="73" t="s">
        <v>7</v>
      </c>
      <c r="G12" s="71"/>
      <c r="H12" s="74" t="s">
        <v>33</v>
      </c>
      <c r="I12" s="73" t="s">
        <v>3</v>
      </c>
      <c r="J12" s="71"/>
      <c r="K12" s="74" t="s">
        <v>34</v>
      </c>
      <c r="L12" s="73" t="s">
        <v>3</v>
      </c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x14ac:dyDescent="0.35">
      <c r="A13" s="75" t="s">
        <v>41</v>
      </c>
      <c r="B13" s="75">
        <f>IF(B7&lt;=6.5,B7,"Mass &gt; MDL")</f>
        <v>0</v>
      </c>
      <c r="C13" s="75">
        <f>IF(B7&gt;6,6,B7)</f>
        <v>0</v>
      </c>
      <c r="D13" s="76" t="s">
        <v>27</v>
      </c>
      <c r="E13" s="75">
        <f>SUM(C13:C16)</f>
        <v>0</v>
      </c>
      <c r="F13" s="77">
        <f>SUM(B8:H8)</f>
        <v>0</v>
      </c>
      <c r="G13" s="78">
        <f>(IF(E13=0,0,IF(E13&gt;42.5,(F13+32.5),(3*F13+12.5))))</f>
        <v>0</v>
      </c>
      <c r="H13" s="75">
        <f>IF(G13&gt;50,50,G13)</f>
        <v>0</v>
      </c>
      <c r="I13" s="50" t="str">
        <f>IF(E13&lt;=H13,"PASS","FAIL")</f>
        <v>PASS</v>
      </c>
      <c r="J13" s="51">
        <f>IF(E13=0,0,IF(E13&gt;46.5, (1.5*F13+29.5), (3*F13+12.5)))</f>
        <v>0</v>
      </c>
      <c r="K13" s="75">
        <f>IF(J13&gt;57.5,57.5,J13)</f>
        <v>0</v>
      </c>
      <c r="L13" s="50" t="str">
        <f t="shared" ref="L13:L18" si="0">IF(E13&lt;=K13,"PASS","FAIL")</f>
        <v>PASS</v>
      </c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35">
      <c r="A14" s="75" t="s">
        <v>45</v>
      </c>
      <c r="B14" s="75">
        <f>IF(D7&lt;=17,D7,"Mass &gt; MDL")</f>
        <v>0</v>
      </c>
      <c r="C14" s="75">
        <f>IF(D7&gt;16.5,16.5,D7)</f>
        <v>0</v>
      </c>
      <c r="D14" s="76" t="s">
        <v>8</v>
      </c>
      <c r="E14" s="75">
        <f>SUM(C13:C14)</f>
        <v>0</v>
      </c>
      <c r="F14" s="75">
        <f>SUM(B8:D8)</f>
        <v>0</v>
      </c>
      <c r="G14" s="78">
        <f t="shared" ref="G14:G18" si="1">(IF(E14=0,0,IF(E14&gt;42.5,(F14+32.5),(3*F14+12.5))))</f>
        <v>0</v>
      </c>
      <c r="H14" s="75">
        <f t="shared" ref="H14:H18" si="2">IF(G14&gt;50,50,G14)</f>
        <v>0</v>
      </c>
      <c r="I14" s="50" t="str">
        <f>IF(E14&lt;=H14,"PASS","FAIL")</f>
        <v>PASS</v>
      </c>
      <c r="J14" s="51">
        <f t="shared" ref="J14:J18" si="3">IF(E14=0,0,IF(E14&gt;46.5, (1.5*F14+29.5), (3*F14+12.5)))</f>
        <v>0</v>
      </c>
      <c r="K14" s="75">
        <f t="shared" ref="K14:K18" si="4">IF(J14&gt;57.5,57.5,J14)</f>
        <v>0</v>
      </c>
      <c r="L14" s="50" t="str">
        <f t="shared" si="0"/>
        <v>PASS</v>
      </c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35">
      <c r="A15" s="75" t="s">
        <v>43</v>
      </c>
      <c r="B15" s="75">
        <f>IF(F7&lt;=17,F7,"Mass &gt;MDL")</f>
        <v>0</v>
      </c>
      <c r="C15" s="75">
        <f>IF(F7&gt;16.5,16.5,F7)</f>
        <v>0</v>
      </c>
      <c r="D15" s="76" t="s">
        <v>28</v>
      </c>
      <c r="E15" s="75">
        <f>SUM(C13:C15)</f>
        <v>0</v>
      </c>
      <c r="F15" s="75">
        <f>SUM(B8:F8)</f>
        <v>0</v>
      </c>
      <c r="G15" s="78">
        <f t="shared" si="1"/>
        <v>0</v>
      </c>
      <c r="H15" s="75">
        <f t="shared" si="2"/>
        <v>0</v>
      </c>
      <c r="I15" s="50" t="str">
        <f>IF(E15&lt;=H15,"PASS","FAIL")</f>
        <v>PASS</v>
      </c>
      <c r="J15" s="51">
        <f t="shared" si="3"/>
        <v>0</v>
      </c>
      <c r="K15" s="75">
        <f t="shared" si="4"/>
        <v>0</v>
      </c>
      <c r="L15" s="50" t="str">
        <f t="shared" si="0"/>
        <v>PASS</v>
      </c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35">
      <c r="A16" s="75" t="s">
        <v>44</v>
      </c>
      <c r="B16" s="75">
        <f>IF(H7&lt;=17,H7,"Mass &gt; MDL")</f>
        <v>0</v>
      </c>
      <c r="C16" s="75">
        <f>IF(H7&gt;16.5,16.5,H7)</f>
        <v>0</v>
      </c>
      <c r="D16" s="76" t="s">
        <v>29</v>
      </c>
      <c r="E16" s="75">
        <f>SUM(C14:C15)</f>
        <v>0</v>
      </c>
      <c r="F16" s="75">
        <f>SUM(D8:F8)</f>
        <v>0</v>
      </c>
      <c r="G16" s="78">
        <f t="shared" si="1"/>
        <v>0</v>
      </c>
      <c r="H16" s="75">
        <f t="shared" si="2"/>
        <v>0</v>
      </c>
      <c r="I16" s="50" t="str">
        <f>IF(E16&lt;=H16,"PASS","FAIL")</f>
        <v>PASS</v>
      </c>
      <c r="J16" s="51">
        <f t="shared" si="3"/>
        <v>0</v>
      </c>
      <c r="K16" s="75">
        <f t="shared" si="4"/>
        <v>0</v>
      </c>
      <c r="L16" s="50" t="str">
        <f t="shared" si="0"/>
        <v>PASS</v>
      </c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35">
      <c r="A17" s="73" t="s">
        <v>6</v>
      </c>
      <c r="B17" s="75">
        <f>IF((SUM(B13:B16)&lt;SUM(C13:C16)),"INVALID",SUM(B13:B16))</f>
        <v>0</v>
      </c>
      <c r="C17" s="75">
        <f>SUM(C13:C16)</f>
        <v>0</v>
      </c>
      <c r="D17" s="76" t="s">
        <v>30</v>
      </c>
      <c r="E17" s="75">
        <f>SUM(C14:C16)</f>
        <v>0</v>
      </c>
      <c r="F17" s="75">
        <f>SUM(D8:H8)</f>
        <v>0</v>
      </c>
      <c r="G17" s="78">
        <f t="shared" si="1"/>
        <v>0</v>
      </c>
      <c r="H17" s="75">
        <f t="shared" si="2"/>
        <v>0</v>
      </c>
      <c r="I17" s="50" t="str">
        <f t="shared" ref="I17:I18" si="5">IF(E17&lt;=H17,"PASS","FAIL")</f>
        <v>PASS</v>
      </c>
      <c r="J17" s="51">
        <f t="shared" si="3"/>
        <v>0</v>
      </c>
      <c r="K17" s="75">
        <f t="shared" si="4"/>
        <v>0</v>
      </c>
      <c r="L17" s="50" t="str">
        <f t="shared" si="0"/>
        <v>PASS</v>
      </c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35">
      <c r="A18" s="71"/>
      <c r="B18" s="71"/>
      <c r="C18" s="71"/>
      <c r="D18" s="76" t="s">
        <v>31</v>
      </c>
      <c r="E18" s="75">
        <f>SUM(C15:C16)</f>
        <v>0</v>
      </c>
      <c r="F18" s="75">
        <f>SUM(F8:H8)</f>
        <v>0</v>
      </c>
      <c r="G18" s="78">
        <f t="shared" si="1"/>
        <v>0</v>
      </c>
      <c r="H18" s="75">
        <f t="shared" si="2"/>
        <v>0</v>
      </c>
      <c r="I18" s="50" t="str">
        <f t="shared" si="5"/>
        <v>PASS</v>
      </c>
      <c r="J18" s="51">
        <f t="shared" si="3"/>
        <v>0</v>
      </c>
      <c r="K18" s="75">
        <f t="shared" si="4"/>
        <v>0</v>
      </c>
      <c r="L18" s="50" t="str">
        <f t="shared" si="0"/>
        <v>PASS</v>
      </c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x14ac:dyDescent="0.35">
      <c r="A19" s="4"/>
      <c r="B19" s="4"/>
      <c r="C19" s="4"/>
      <c r="D19" s="4"/>
      <c r="E19" s="4"/>
      <c r="F19" s="4"/>
      <c r="G19" s="79" t="s">
        <v>22</v>
      </c>
      <c r="H19" s="120" t="str">
        <f>IF(COUNTIF(I13:I18,"PASS")=6,"PASS","FAIL")</f>
        <v>PASS</v>
      </c>
      <c r="I19" s="121"/>
      <c r="J19" s="4"/>
      <c r="K19" s="120" t="str">
        <f>IF(COUNTIF(L13:L18,"PASS")=6,"PASS","FAIL")</f>
        <v>PASS</v>
      </c>
      <c r="L19" s="121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x14ac:dyDescent="0.35">
      <c r="A20" s="5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x14ac:dyDescent="0.35">
      <c r="A21" s="4"/>
      <c r="B21" s="4"/>
      <c r="C21" s="4"/>
      <c r="D21" s="4"/>
      <c r="E21" s="4"/>
      <c r="F21" s="4"/>
      <c r="G21" s="122" t="s">
        <v>11</v>
      </c>
      <c r="H21" s="122"/>
      <c r="I21" s="123"/>
      <c r="J21" s="116" t="str">
        <f>IF(B14&gt;=(0.2*B17),"PASS","FAIL")</f>
        <v>PASS</v>
      </c>
      <c r="K21" s="117"/>
      <c r="L21" s="118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x14ac:dyDescent="0.35">
      <c r="A22" s="53"/>
      <c r="B22" s="54"/>
      <c r="C22" s="54"/>
      <c r="D22" s="55"/>
      <c r="E22" s="11"/>
      <c r="F22" s="5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x14ac:dyDescent="0.35">
      <c r="A23" s="56"/>
      <c r="B23" s="57"/>
      <c r="C23" s="58"/>
      <c r="D23" s="12"/>
      <c r="E23" s="12"/>
      <c r="F23" s="5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x14ac:dyDescent="0.35">
      <c r="A24" s="56"/>
      <c r="B24" s="57"/>
      <c r="C24" s="58"/>
      <c r="D24" s="12"/>
      <c r="E24" s="12"/>
      <c r="F24" s="59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x14ac:dyDescent="0.35">
      <c r="A25" s="56"/>
      <c r="B25" s="57"/>
      <c r="C25" s="58"/>
      <c r="D25" s="12"/>
      <c r="E25" s="12"/>
      <c r="F25" s="59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35">
      <c r="A26" s="56"/>
      <c r="B26" s="60"/>
      <c r="C26" s="58"/>
      <c r="D26" s="12"/>
      <c r="E26" s="12"/>
      <c r="F26" s="5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35">
      <c r="A27" s="61"/>
      <c r="B27" s="42"/>
      <c r="C27" s="7"/>
      <c r="D27" s="62"/>
      <c r="E27" s="6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x14ac:dyDescent="0.35">
      <c r="A28" s="48"/>
      <c r="B28" s="63"/>
      <c r="C28" s="7"/>
      <c r="D28" s="12"/>
      <c r="E28" s="1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x14ac:dyDescent="0.35">
      <c r="A29" s="2"/>
      <c r="B29" s="26"/>
      <c r="C29" s="8"/>
      <c r="D29" s="114"/>
      <c r="E29" s="114"/>
    </row>
    <row r="30" spans="1:22" x14ac:dyDescent="0.35">
      <c r="A30" s="2"/>
      <c r="B30" s="27"/>
      <c r="C30" s="2"/>
      <c r="D30" s="114"/>
      <c r="E30" s="114"/>
    </row>
    <row r="31" spans="1:22" x14ac:dyDescent="0.35">
      <c r="A31" s="2"/>
      <c r="B31" s="26"/>
      <c r="C31" s="8"/>
      <c r="D31" s="25"/>
      <c r="E31" s="25"/>
    </row>
    <row r="32" spans="1:22" x14ac:dyDescent="0.35">
      <c r="A32" s="2"/>
      <c r="B32" s="27"/>
      <c r="C32" s="2"/>
      <c r="D32" s="25"/>
      <c r="E32" s="25"/>
    </row>
    <row r="33" spans="1:5" x14ac:dyDescent="0.35">
      <c r="A33" s="2"/>
      <c r="B33" s="26"/>
      <c r="C33" s="8"/>
      <c r="D33" s="114"/>
      <c r="E33" s="114"/>
    </row>
    <row r="34" spans="1:5" x14ac:dyDescent="0.35">
      <c r="A34" s="2"/>
      <c r="B34" s="26"/>
      <c r="C34" s="8"/>
      <c r="D34" s="114"/>
      <c r="E34" s="114"/>
    </row>
  </sheetData>
  <sheetProtection algorithmName="SHA-512" hashValue="8ldFbeHiR3Hxz4lesFiTVCYAoRotKpIbIOGy8hF0fdHRj0u9IJV1njcYZJdN0agGSqj1+f535T81RKTMns6wTQ==" saltValue="2m78c8TVNJE26d7ToniTBg==" spinCount="100000" sheet="1" selectLockedCells="1" selectUnlockedCells="1"/>
  <protectedRanges>
    <protectedRange sqref="B6:H8" name="Range1"/>
  </protectedRanges>
  <mergeCells count="14">
    <mergeCell ref="D34:E34"/>
    <mergeCell ref="A11:I11"/>
    <mergeCell ref="J21:L21"/>
    <mergeCell ref="C6:C7"/>
    <mergeCell ref="E6:E7"/>
    <mergeCell ref="G6:G7"/>
    <mergeCell ref="H19:I19"/>
    <mergeCell ref="K19:L19"/>
    <mergeCell ref="G21:I21"/>
    <mergeCell ref="A1:B1"/>
    <mergeCell ref="A3:H3"/>
    <mergeCell ref="D29:E29"/>
    <mergeCell ref="D30:E30"/>
    <mergeCell ref="D33:E33"/>
  </mergeCells>
  <conditionalFormatting sqref="H19:I19">
    <cfRule type="containsText" dxfId="31" priority="35" operator="containsText" text="FAIL">
      <formula>NOT(ISERROR(SEARCH("FAIL",H19)))</formula>
    </cfRule>
    <cfRule type="containsText" dxfId="30" priority="36" operator="containsText" text="PASS">
      <formula>NOT(ISERROR(SEARCH("PASS",H19)))</formula>
    </cfRule>
  </conditionalFormatting>
  <conditionalFormatting sqref="I13:I18">
    <cfRule type="containsText" dxfId="29" priority="33" operator="containsText" text="FAIL">
      <formula>NOT(ISERROR(SEARCH("FAIL",I13)))</formula>
    </cfRule>
    <cfRule type="containsText" dxfId="28" priority="34" operator="containsText" text="PASS">
      <formula>NOT(ISERROR(SEARCH("PASS",I13)))</formula>
    </cfRule>
  </conditionalFormatting>
  <conditionalFormatting sqref="K19:L19">
    <cfRule type="containsText" dxfId="27" priority="31" operator="containsText" text="FAIL">
      <formula>NOT(ISERROR(SEARCH("FAIL",K19)))</formula>
    </cfRule>
    <cfRule type="containsText" dxfId="26" priority="32" operator="containsText" text="PASS">
      <formula>NOT(ISERROR(SEARCH("PASS",K19)))</formula>
    </cfRule>
  </conditionalFormatting>
  <conditionalFormatting sqref="L13:L18">
    <cfRule type="containsText" dxfId="25" priority="29" operator="containsText" text="FAIL">
      <formula>NOT(ISERROR(SEARCH("FAIL",L13)))</formula>
    </cfRule>
    <cfRule type="containsText" dxfId="24" priority="30" operator="containsText" text="PASS">
      <formula>NOT(ISERROR(SEARCH("PASS",L13)))</formula>
    </cfRule>
  </conditionalFormatting>
  <conditionalFormatting sqref="J21">
    <cfRule type="containsText" dxfId="23" priority="23" operator="containsText" text="FAIL">
      <formula>NOT(ISERROR(SEARCH("FAIL",J21)))</formula>
    </cfRule>
    <cfRule type="containsText" dxfId="22" priority="24" operator="containsText" text="PASS">
      <formula>NOT(ISERROR(SEARCH("PASS",J21)))</formula>
    </cfRule>
  </conditionalFormatting>
  <conditionalFormatting sqref="D34">
    <cfRule type="containsText" dxfId="21" priority="1" operator="containsText" text="FAIL">
      <formula>NOT(ISERROR(SEARCH("FAIL",D34)))</formula>
    </cfRule>
    <cfRule type="containsText" dxfId="20" priority="2" operator="containsText" text="PASS">
      <formula>NOT(ISERROR(SEARCH("PASS",D34)))</formula>
    </cfRule>
  </conditionalFormatting>
  <conditionalFormatting sqref="D23:D26 F23:F26">
    <cfRule type="containsText" dxfId="19" priority="21" operator="containsText" text="FAIL">
      <formula>NOT(ISERROR(SEARCH("FAIL",D23)))</formula>
    </cfRule>
    <cfRule type="containsText" dxfId="18" priority="22" operator="containsText" text="PASS">
      <formula>NOT(ISERROR(SEARCH("PASS",D23)))</formula>
    </cfRule>
  </conditionalFormatting>
  <conditionalFormatting sqref="E23:E26">
    <cfRule type="containsText" dxfId="17" priority="19" operator="containsText" text="FAIL">
      <formula>NOT(ISERROR(SEARCH("FAIL",E23)))</formula>
    </cfRule>
    <cfRule type="containsText" dxfId="16" priority="20" operator="containsText" text="PASS">
      <formula>NOT(ISERROR(SEARCH("PASS",E23)))</formula>
    </cfRule>
  </conditionalFormatting>
  <conditionalFormatting sqref="D28">
    <cfRule type="containsText" dxfId="15" priority="17" operator="containsText" text="FAIL">
      <formula>NOT(ISERROR(SEARCH("FAIL",D28)))</formula>
    </cfRule>
    <cfRule type="containsText" dxfId="14" priority="18" operator="containsText" text="PASS">
      <formula>NOT(ISERROR(SEARCH("PASS",D28)))</formula>
    </cfRule>
  </conditionalFormatting>
  <conditionalFormatting sqref="E28">
    <cfRule type="containsText" dxfId="13" priority="15" operator="containsText" text="FAIL">
      <formula>NOT(ISERROR(SEARCH("FAIL",E28)))</formula>
    </cfRule>
    <cfRule type="containsText" dxfId="12" priority="16" operator="containsText" text="PASS">
      <formula>NOT(ISERROR(SEARCH("PASS",E28)))</formula>
    </cfRule>
  </conditionalFormatting>
  <conditionalFormatting sqref="D29:D30">
    <cfRule type="containsText" dxfId="11" priority="13" operator="containsText" text="FAIL">
      <formula>NOT(ISERROR(SEARCH("FAIL",D29)))</formula>
    </cfRule>
    <cfRule type="containsText" dxfId="10" priority="14" operator="containsText" text="PASS">
      <formula>NOT(ISERROR(SEARCH("PASS",D29)))</formula>
    </cfRule>
  </conditionalFormatting>
  <conditionalFormatting sqref="D31">
    <cfRule type="containsText" dxfId="9" priority="11" operator="containsText" text="FAIL">
      <formula>NOT(ISERROR(SEARCH("FAIL",D31)))</formula>
    </cfRule>
    <cfRule type="containsText" dxfId="8" priority="12" operator="containsText" text="PASS">
      <formula>NOT(ISERROR(SEARCH("PASS",D31)))</formula>
    </cfRule>
  </conditionalFormatting>
  <conditionalFormatting sqref="E31">
    <cfRule type="containsText" dxfId="7" priority="9" operator="containsText" text="FAIL">
      <formula>NOT(ISERROR(SEARCH("FAIL",E31)))</formula>
    </cfRule>
    <cfRule type="containsText" dxfId="6" priority="10" operator="containsText" text="PASS">
      <formula>NOT(ISERROR(SEARCH("PASS",E31)))</formula>
    </cfRule>
  </conditionalFormatting>
  <conditionalFormatting sqref="D32">
    <cfRule type="containsText" dxfId="5" priority="7" operator="containsText" text="FAIL">
      <formula>NOT(ISERROR(SEARCH("FAIL",D32)))</formula>
    </cfRule>
    <cfRule type="containsText" dxfId="4" priority="8" operator="containsText" text="PASS">
      <formula>NOT(ISERROR(SEARCH("PASS",D32)))</formula>
    </cfRule>
  </conditionalFormatting>
  <conditionalFormatting sqref="E32">
    <cfRule type="containsText" dxfId="3" priority="5" operator="containsText" text="FAIL">
      <formula>NOT(ISERROR(SEARCH("FAIL",E32)))</formula>
    </cfRule>
    <cfRule type="containsText" dxfId="2" priority="6" operator="containsText" text="PASS">
      <formula>NOT(ISERROR(SEARCH("PASS",E32)))</formula>
    </cfRule>
  </conditionalFormatting>
  <conditionalFormatting sqref="D33">
    <cfRule type="containsText" dxfId="1" priority="3" operator="containsText" text="FAIL">
      <formula>NOT(ISERROR(SEARCH("FAIL",D33)))</formula>
    </cfRule>
    <cfRule type="containsText" dxfId="0" priority="4" operator="containsText" text="PASS">
      <formula>NOT(ISERROR(SEARCH("PASS",D33)))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20m T&amp;D checksheet </vt:lpstr>
      <vt:lpstr>Sheet1</vt:lpstr>
      <vt:lpstr>20m T&amp;D ASMS calculation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Macklin</dc:creator>
  <cp:lastModifiedBy>Kerry Plater</cp:lastModifiedBy>
  <dcterms:created xsi:type="dcterms:W3CDTF">2015-11-27T00:31:11Z</dcterms:created>
  <dcterms:modified xsi:type="dcterms:W3CDTF">2023-01-22T22:49:41Z</dcterms:modified>
</cp:coreProperties>
</file>