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joshua.forrest\Desktop\"/>
    </mc:Choice>
  </mc:AlternateContent>
  <xr:revisionPtr revIDLastSave="0" documentId="13_ncr:1_{9CE027B7-9617-4A97-B911-262A026BF348}" xr6:coauthVersionLast="47" xr6:coauthVersionMax="47" xr10:uidLastSave="{00000000-0000-0000-0000-000000000000}"/>
  <bookViews>
    <workbookView xWindow="13860" yWindow="-16470" windowWidth="29040" windowHeight="15840" tabRatio="677" xr2:uid="{704C448C-6A80-4543-B1F8-EB84701293D0}"/>
  </bookViews>
  <sheets>
    <sheet name="Calculator" sheetId="1" r:id="rId1"/>
    <sheet name="Underlying axle data" sheetId="2" r:id="rId2"/>
    <sheet name="Underlying mass data" sheetId="7" r:id="rId3"/>
    <sheet name="Escalated values" sheetId="3" r:id="rId4"/>
    <sheet name="Data sources" sheetId="5" r:id="rId5"/>
    <sheet name="Dropdown menus" sheetId="4" r:id="rId6"/>
  </sheets>
  <definedNames>
    <definedName name="Image_PICC_A">INDEX(Calculator!$AW$88:$AW$140,MATCH(Calculator!$F$18, Calculator!$AV$88:$AV$140,0))</definedName>
    <definedName name="Image_PICC_B">INDEX(Calculator!$AW$88:$AW$140,MATCH(Calculator!$W$18, Calculator!$AV$88:$AV$140,0))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3" l="1"/>
  <c r="D153" i="3"/>
  <c r="D154" i="3"/>
  <c r="D155" i="3"/>
  <c r="D156" i="3"/>
  <c r="D157" i="3"/>
  <c r="D158" i="3"/>
  <c r="D159" i="3"/>
  <c r="D160" i="3"/>
  <c r="D161" i="3"/>
  <c r="AO39" i="1"/>
  <c r="AP44" i="1" s="1" a="1"/>
  <c r="AP44" i="1" s="1"/>
  <c r="AP43" i="1"/>
  <c r="AP47" i="1"/>
  <c r="AP51" i="1"/>
  <c r="AP55" i="1"/>
  <c r="AP59" i="1"/>
  <c r="AG32" i="1"/>
  <c r="AP56" i="1" l="1" a="1"/>
  <c r="AP56" i="1" s="1"/>
  <c r="AP48" i="1" a="1"/>
  <c r="AP48" i="1" s="1"/>
  <c r="AP60" i="1" a="1"/>
  <c r="AP60" i="1" s="1"/>
  <c r="AP52" i="1" a="1"/>
  <c r="AP52" i="1" s="1"/>
  <c r="T20" i="7" a="1"/>
  <c r="T20" i="7" s="1"/>
  <c r="E64" i="2" l="1"/>
  <c r="E65" i="2"/>
  <c r="E66" i="2"/>
  <c r="E67" i="2"/>
  <c r="E68" i="2"/>
  <c r="E69" i="2"/>
  <c r="E70" i="2"/>
  <c r="E71" i="2"/>
  <c r="E72" i="2"/>
  <c r="AP61" i="1"/>
  <c r="O36" i="1"/>
  <c r="U63" i="7" a="1"/>
  <c r="U63" i="7" s="1"/>
  <c r="AF36" i="1"/>
  <c r="Y226" i="7" a="1"/>
  <c r="Y226" i="7" s="1"/>
  <c r="X226" i="7" a="1"/>
  <c r="X226" i="7" s="1"/>
  <c r="W226" i="7" a="1"/>
  <c r="W226" i="7" s="1"/>
  <c r="V226" i="7" a="1"/>
  <c r="V226" i="7" s="1"/>
  <c r="U226" i="7" a="1"/>
  <c r="U226" i="7" s="1"/>
  <c r="T226" i="7" a="1"/>
  <c r="T226" i="7" s="1"/>
  <c r="S226" i="7" a="1"/>
  <c r="S226" i="7" s="1"/>
  <c r="Y225" i="7" a="1"/>
  <c r="Y225" i="7" s="1"/>
  <c r="X225" i="7" a="1"/>
  <c r="X225" i="7" s="1"/>
  <c r="W225" i="7" a="1"/>
  <c r="W225" i="7" s="1"/>
  <c r="V225" i="7" a="1"/>
  <c r="V225" i="7" s="1"/>
  <c r="U225" i="7" a="1"/>
  <c r="U225" i="7" s="1"/>
  <c r="T225" i="7" a="1"/>
  <c r="T225" i="7" s="1"/>
  <c r="S225" i="7" a="1"/>
  <c r="S225" i="7" s="1"/>
  <c r="Y224" i="7" a="1"/>
  <c r="Y224" i="7" s="1"/>
  <c r="X224" i="7" a="1"/>
  <c r="X224" i="7" s="1"/>
  <c r="W224" i="7" a="1"/>
  <c r="W224" i="7" s="1"/>
  <c r="V224" i="7" a="1"/>
  <c r="V224" i="7" s="1"/>
  <c r="U224" i="7" a="1"/>
  <c r="U224" i="7" s="1"/>
  <c r="T224" i="7" a="1"/>
  <c r="T224" i="7" s="1"/>
  <c r="S224" i="7" a="1"/>
  <c r="S224" i="7" s="1"/>
  <c r="Y223" i="7" a="1"/>
  <c r="Y223" i="7" s="1"/>
  <c r="X223" i="7" a="1"/>
  <c r="X223" i="7" s="1"/>
  <c r="W223" i="7" a="1"/>
  <c r="W223" i="7" s="1"/>
  <c r="V223" i="7" a="1"/>
  <c r="V223" i="7" s="1"/>
  <c r="U223" i="7" a="1"/>
  <c r="U223" i="7" s="1"/>
  <c r="T223" i="7" a="1"/>
  <c r="T223" i="7" s="1"/>
  <c r="S223" i="7" a="1"/>
  <c r="S223" i="7" s="1"/>
  <c r="Y222" i="7" a="1"/>
  <c r="Y222" i="7" s="1"/>
  <c r="X222" i="7" a="1"/>
  <c r="X222" i="7" s="1"/>
  <c r="W222" i="7" a="1"/>
  <c r="W222" i="7" s="1"/>
  <c r="V222" i="7" a="1"/>
  <c r="V222" i="7" s="1"/>
  <c r="U222" i="7" a="1"/>
  <c r="U222" i="7" s="1"/>
  <c r="T222" i="7" a="1"/>
  <c r="T222" i="7" s="1"/>
  <c r="S222" i="7" a="1"/>
  <c r="S222" i="7" s="1"/>
  <c r="Y221" i="7" a="1"/>
  <c r="Y221" i="7" s="1"/>
  <c r="X221" i="7" a="1"/>
  <c r="X221" i="7" s="1"/>
  <c r="W221" i="7" a="1"/>
  <c r="W221" i="7" s="1"/>
  <c r="V221" i="7" a="1"/>
  <c r="V221" i="7" s="1"/>
  <c r="U221" i="7" a="1"/>
  <c r="U221" i="7" s="1"/>
  <c r="T221" i="7" a="1"/>
  <c r="T221" i="7" s="1"/>
  <c r="S221" i="7" a="1"/>
  <c r="S221" i="7" s="1"/>
  <c r="Y220" i="7" a="1"/>
  <c r="Y220" i="7" s="1"/>
  <c r="X220" i="7" a="1"/>
  <c r="X220" i="7" s="1"/>
  <c r="W220" i="7" a="1"/>
  <c r="W220" i="7" s="1"/>
  <c r="V220" i="7" a="1"/>
  <c r="V220" i="7" s="1"/>
  <c r="U220" i="7" a="1"/>
  <c r="U220" i="7" s="1"/>
  <c r="T220" i="7" a="1"/>
  <c r="T220" i="7" s="1"/>
  <c r="S220" i="7" a="1"/>
  <c r="S220" i="7" s="1"/>
  <c r="Y219" i="7" a="1"/>
  <c r="Y219" i="7" s="1"/>
  <c r="X219" i="7" a="1"/>
  <c r="X219" i="7" s="1"/>
  <c r="W219" i="7" a="1"/>
  <c r="W219" i="7" s="1"/>
  <c r="V219" i="7" a="1"/>
  <c r="V219" i="7" s="1"/>
  <c r="U219" i="7" a="1"/>
  <c r="U219" i="7" s="1"/>
  <c r="T219" i="7" a="1"/>
  <c r="T219" i="7" s="1"/>
  <c r="S219" i="7" a="1"/>
  <c r="S219" i="7" s="1"/>
  <c r="Y218" i="7" a="1"/>
  <c r="Y218" i="7" s="1"/>
  <c r="X218" i="7" a="1"/>
  <c r="X218" i="7" s="1"/>
  <c r="W218" i="7" a="1"/>
  <c r="W218" i="7" s="1"/>
  <c r="V218" i="7" a="1"/>
  <c r="V218" i="7" s="1"/>
  <c r="U218" i="7" a="1"/>
  <c r="U218" i="7" s="1"/>
  <c r="T218" i="7" a="1"/>
  <c r="T218" i="7" s="1"/>
  <c r="S218" i="7" a="1"/>
  <c r="S218" i="7" s="1"/>
  <c r="Y217" i="7" a="1"/>
  <c r="Y217" i="7" s="1"/>
  <c r="X217" i="7" a="1"/>
  <c r="X217" i="7" s="1"/>
  <c r="W217" i="7" a="1"/>
  <c r="W217" i="7" s="1"/>
  <c r="V217" i="7" a="1"/>
  <c r="V217" i="7" s="1"/>
  <c r="U217" i="7" a="1"/>
  <c r="U217" i="7" s="1"/>
  <c r="T217" i="7" a="1"/>
  <c r="T217" i="7" s="1"/>
  <c r="S217" i="7" a="1"/>
  <c r="S217" i="7" s="1"/>
  <c r="Y216" i="7" a="1"/>
  <c r="Y216" i="7" s="1"/>
  <c r="X216" i="7" a="1"/>
  <c r="X216" i="7" s="1"/>
  <c r="W216" i="7" a="1"/>
  <c r="W216" i="7" s="1"/>
  <c r="V216" i="7" a="1"/>
  <c r="V216" i="7" s="1"/>
  <c r="U216" i="7" a="1"/>
  <c r="U216" i="7" s="1"/>
  <c r="T216" i="7" a="1"/>
  <c r="T216" i="7" s="1"/>
  <c r="S216" i="7" a="1"/>
  <c r="S216" i="7" s="1"/>
  <c r="Y215" i="7" a="1"/>
  <c r="Y215" i="7" s="1"/>
  <c r="X215" i="7" a="1"/>
  <c r="X215" i="7" s="1"/>
  <c r="W215" i="7" a="1"/>
  <c r="W215" i="7" s="1"/>
  <c r="V215" i="7" a="1"/>
  <c r="V215" i="7" s="1"/>
  <c r="U215" i="7" a="1"/>
  <c r="U215" i="7" s="1"/>
  <c r="T215" i="7" a="1"/>
  <c r="T215" i="7" s="1"/>
  <c r="S215" i="7" a="1"/>
  <c r="S215" i="7" s="1"/>
  <c r="Y214" i="7" a="1"/>
  <c r="Y214" i="7" s="1"/>
  <c r="X214" i="7" a="1"/>
  <c r="X214" i="7" s="1"/>
  <c r="W214" i="7" a="1"/>
  <c r="W214" i="7" s="1"/>
  <c r="V214" i="7" a="1"/>
  <c r="V214" i="7" s="1"/>
  <c r="U214" i="7" a="1"/>
  <c r="U214" i="7" s="1"/>
  <c r="T214" i="7" a="1"/>
  <c r="T214" i="7" s="1"/>
  <c r="S214" i="7" a="1"/>
  <c r="S214" i="7" s="1"/>
  <c r="Y213" i="7" a="1"/>
  <c r="Y213" i="7" s="1"/>
  <c r="X213" i="7" a="1"/>
  <c r="X213" i="7" s="1"/>
  <c r="W213" i="7" a="1"/>
  <c r="W213" i="7" s="1"/>
  <c r="V213" i="7" a="1"/>
  <c r="V213" i="7" s="1"/>
  <c r="U213" i="7" a="1"/>
  <c r="U213" i="7" s="1"/>
  <c r="T213" i="7" a="1"/>
  <c r="T213" i="7" s="1"/>
  <c r="S213" i="7" a="1"/>
  <c r="S213" i="7" s="1"/>
  <c r="Y212" i="7" a="1"/>
  <c r="Y212" i="7" s="1"/>
  <c r="X212" i="7" a="1"/>
  <c r="X212" i="7" s="1"/>
  <c r="W212" i="7" a="1"/>
  <c r="W212" i="7" s="1"/>
  <c r="V212" i="7" a="1"/>
  <c r="V212" i="7" s="1"/>
  <c r="U212" i="7" a="1"/>
  <c r="U212" i="7" s="1"/>
  <c r="T212" i="7" a="1"/>
  <c r="T212" i="7" s="1"/>
  <c r="S212" i="7" a="1"/>
  <c r="S212" i="7" s="1"/>
  <c r="Y211" i="7" a="1"/>
  <c r="Y211" i="7" s="1"/>
  <c r="X211" i="7" a="1"/>
  <c r="X211" i="7" s="1"/>
  <c r="W211" i="7" a="1"/>
  <c r="W211" i="7" s="1"/>
  <c r="V211" i="7" a="1"/>
  <c r="V211" i="7" s="1"/>
  <c r="U211" i="7" a="1"/>
  <c r="U211" i="7" s="1"/>
  <c r="T211" i="7" a="1"/>
  <c r="T211" i="7" s="1"/>
  <c r="S211" i="7" a="1"/>
  <c r="S211" i="7" s="1"/>
  <c r="Y210" i="7" a="1"/>
  <c r="Y210" i="7" s="1"/>
  <c r="X210" i="7" a="1"/>
  <c r="X210" i="7" s="1"/>
  <c r="W210" i="7" a="1"/>
  <c r="W210" i="7" s="1"/>
  <c r="V210" i="7" a="1"/>
  <c r="V210" i="7" s="1"/>
  <c r="U210" i="7" a="1"/>
  <c r="U210" i="7" s="1"/>
  <c r="T210" i="7" a="1"/>
  <c r="T210" i="7" s="1"/>
  <c r="S210" i="7" a="1"/>
  <c r="S210" i="7" s="1"/>
  <c r="Y209" i="7" a="1"/>
  <c r="Y209" i="7" s="1"/>
  <c r="X209" i="7" a="1"/>
  <c r="X209" i="7" s="1"/>
  <c r="W209" i="7" a="1"/>
  <c r="W209" i="7" s="1"/>
  <c r="V209" i="7" a="1"/>
  <c r="V209" i="7" s="1"/>
  <c r="U209" i="7" a="1"/>
  <c r="U209" i="7" s="1"/>
  <c r="T209" i="7" a="1"/>
  <c r="T209" i="7" s="1"/>
  <c r="S209" i="7" a="1"/>
  <c r="S209" i="7" s="1"/>
  <c r="Y208" i="7" a="1"/>
  <c r="Y208" i="7" s="1"/>
  <c r="X208" i="7" a="1"/>
  <c r="X208" i="7" s="1"/>
  <c r="W208" i="7" a="1"/>
  <c r="W208" i="7" s="1"/>
  <c r="V208" i="7" a="1"/>
  <c r="V208" i="7" s="1"/>
  <c r="U208" i="7" a="1"/>
  <c r="U208" i="7" s="1"/>
  <c r="T208" i="7" a="1"/>
  <c r="T208" i="7" s="1"/>
  <c r="S208" i="7" a="1"/>
  <c r="S208" i="7" s="1"/>
  <c r="Y207" i="7" a="1"/>
  <c r="Y207" i="7" s="1"/>
  <c r="X207" i="7" a="1"/>
  <c r="X207" i="7" s="1"/>
  <c r="W207" i="7" a="1"/>
  <c r="W207" i="7" s="1"/>
  <c r="V207" i="7" a="1"/>
  <c r="V207" i="7" s="1"/>
  <c r="U207" i="7" a="1"/>
  <c r="U207" i="7" s="1"/>
  <c r="T207" i="7" a="1"/>
  <c r="T207" i="7" s="1"/>
  <c r="S207" i="7" a="1"/>
  <c r="S207" i="7" s="1"/>
  <c r="Y206" i="7" a="1"/>
  <c r="Y206" i="7" s="1"/>
  <c r="X206" i="7" a="1"/>
  <c r="X206" i="7" s="1"/>
  <c r="W206" i="7" a="1"/>
  <c r="W206" i="7" s="1"/>
  <c r="V206" i="7" a="1"/>
  <c r="V206" i="7" s="1"/>
  <c r="U206" i="7" a="1"/>
  <c r="U206" i="7" s="1"/>
  <c r="T206" i="7" a="1"/>
  <c r="T206" i="7" s="1"/>
  <c r="S206" i="7" a="1"/>
  <c r="S206" i="7" s="1"/>
  <c r="Y205" i="7" a="1"/>
  <c r="Y205" i="7" s="1"/>
  <c r="X205" i="7" a="1"/>
  <c r="X205" i="7" s="1"/>
  <c r="W205" i="7" a="1"/>
  <c r="W205" i="7" s="1"/>
  <c r="V205" i="7" a="1"/>
  <c r="V205" i="7" s="1"/>
  <c r="U205" i="7" a="1"/>
  <c r="U205" i="7" s="1"/>
  <c r="T205" i="7" a="1"/>
  <c r="T205" i="7" s="1"/>
  <c r="S205" i="7" a="1"/>
  <c r="S205" i="7" s="1"/>
  <c r="Y204" i="7" a="1"/>
  <c r="Y204" i="7" s="1"/>
  <c r="X204" i="7" a="1"/>
  <c r="X204" i="7" s="1"/>
  <c r="W204" i="7" a="1"/>
  <c r="W204" i="7" s="1"/>
  <c r="V204" i="7" a="1"/>
  <c r="V204" i="7" s="1"/>
  <c r="U204" i="7" a="1"/>
  <c r="U204" i="7" s="1"/>
  <c r="T204" i="7" a="1"/>
  <c r="T204" i="7" s="1"/>
  <c r="S204" i="7" a="1"/>
  <c r="S204" i="7" s="1"/>
  <c r="Y203" i="7" a="1"/>
  <c r="Y203" i="7" s="1"/>
  <c r="X203" i="7" a="1"/>
  <c r="X203" i="7" s="1"/>
  <c r="W203" i="7" a="1"/>
  <c r="W203" i="7" s="1"/>
  <c r="V203" i="7" a="1"/>
  <c r="V203" i="7" s="1"/>
  <c r="U203" i="7" a="1"/>
  <c r="U203" i="7" s="1"/>
  <c r="T203" i="7" a="1"/>
  <c r="T203" i="7" s="1"/>
  <c r="S203" i="7" a="1"/>
  <c r="S203" i="7" s="1"/>
  <c r="Y202" i="7" a="1"/>
  <c r="Y202" i="7" s="1"/>
  <c r="X202" i="7" a="1"/>
  <c r="X202" i="7" s="1"/>
  <c r="W202" i="7" a="1"/>
  <c r="W202" i="7" s="1"/>
  <c r="V202" i="7" a="1"/>
  <c r="V202" i="7" s="1"/>
  <c r="U202" i="7" a="1"/>
  <c r="U202" i="7" s="1"/>
  <c r="T202" i="7" a="1"/>
  <c r="T202" i="7" s="1"/>
  <c r="S202" i="7" a="1"/>
  <c r="S202" i="7" s="1"/>
  <c r="Y201" i="7" a="1"/>
  <c r="Y201" i="7" s="1"/>
  <c r="X201" i="7" a="1"/>
  <c r="X201" i="7" s="1"/>
  <c r="W201" i="7" a="1"/>
  <c r="W201" i="7" s="1"/>
  <c r="V201" i="7" a="1"/>
  <c r="V201" i="7" s="1"/>
  <c r="U201" i="7" a="1"/>
  <c r="U201" i="7" s="1"/>
  <c r="T201" i="7" a="1"/>
  <c r="T201" i="7" s="1"/>
  <c r="S201" i="7" a="1"/>
  <c r="S201" i="7" s="1"/>
  <c r="Y200" i="7" a="1"/>
  <c r="Y200" i="7" s="1"/>
  <c r="X200" i="7" a="1"/>
  <c r="X200" i="7" s="1"/>
  <c r="W200" i="7" a="1"/>
  <c r="W200" i="7" s="1"/>
  <c r="V200" i="7" a="1"/>
  <c r="V200" i="7" s="1"/>
  <c r="U200" i="7" a="1"/>
  <c r="U200" i="7" s="1"/>
  <c r="T200" i="7" a="1"/>
  <c r="T200" i="7" s="1"/>
  <c r="S200" i="7" a="1"/>
  <c r="S200" i="7" s="1"/>
  <c r="Y199" i="7" a="1"/>
  <c r="Y199" i="7" s="1"/>
  <c r="X199" i="7" a="1"/>
  <c r="X199" i="7" s="1"/>
  <c r="W199" i="7" a="1"/>
  <c r="W199" i="7" s="1"/>
  <c r="V199" i="7" a="1"/>
  <c r="V199" i="7" s="1"/>
  <c r="U199" i="7" a="1"/>
  <c r="U199" i="7" s="1"/>
  <c r="T199" i="7" a="1"/>
  <c r="T199" i="7" s="1"/>
  <c r="S199" i="7" a="1"/>
  <c r="S199" i="7" s="1"/>
  <c r="Y198" i="7" a="1"/>
  <c r="Y198" i="7" s="1"/>
  <c r="X198" i="7" a="1"/>
  <c r="X198" i="7" s="1"/>
  <c r="W198" i="7" a="1"/>
  <c r="W198" i="7" s="1"/>
  <c r="V198" i="7" a="1"/>
  <c r="V198" i="7" s="1"/>
  <c r="U198" i="7" a="1"/>
  <c r="U198" i="7" s="1"/>
  <c r="T198" i="7" a="1"/>
  <c r="T198" i="7" s="1"/>
  <c r="S198" i="7" a="1"/>
  <c r="S198" i="7" s="1"/>
  <c r="Y197" i="7" a="1"/>
  <c r="Y197" i="7" s="1"/>
  <c r="X197" i="7" a="1"/>
  <c r="X197" i="7" s="1"/>
  <c r="W197" i="7" a="1"/>
  <c r="W197" i="7" s="1"/>
  <c r="V197" i="7" a="1"/>
  <c r="V197" i="7" s="1"/>
  <c r="U197" i="7" a="1"/>
  <c r="U197" i="7" s="1"/>
  <c r="T197" i="7" a="1"/>
  <c r="T197" i="7" s="1"/>
  <c r="S197" i="7" a="1"/>
  <c r="S197" i="7" s="1"/>
  <c r="Y196" i="7" a="1"/>
  <c r="Y196" i="7" s="1"/>
  <c r="X196" i="7" a="1"/>
  <c r="X196" i="7" s="1"/>
  <c r="W196" i="7" a="1"/>
  <c r="W196" i="7" s="1"/>
  <c r="V196" i="7" a="1"/>
  <c r="V196" i="7" s="1"/>
  <c r="U196" i="7" a="1"/>
  <c r="U196" i="7" s="1"/>
  <c r="T196" i="7" a="1"/>
  <c r="T196" i="7" s="1"/>
  <c r="S196" i="7" a="1"/>
  <c r="S196" i="7" s="1"/>
  <c r="Y195" i="7" a="1"/>
  <c r="Y195" i="7" s="1"/>
  <c r="X195" i="7" a="1"/>
  <c r="X195" i="7" s="1"/>
  <c r="W195" i="7" a="1"/>
  <c r="W195" i="7" s="1"/>
  <c r="V195" i="7" a="1"/>
  <c r="V195" i="7" s="1"/>
  <c r="U195" i="7" a="1"/>
  <c r="U195" i="7" s="1"/>
  <c r="T195" i="7" a="1"/>
  <c r="T195" i="7" s="1"/>
  <c r="S195" i="7" a="1"/>
  <c r="S195" i="7" s="1"/>
  <c r="Y194" i="7" a="1"/>
  <c r="Y194" i="7" s="1"/>
  <c r="X194" i="7" a="1"/>
  <c r="X194" i="7" s="1"/>
  <c r="W194" i="7" a="1"/>
  <c r="W194" i="7" s="1"/>
  <c r="V194" i="7" a="1"/>
  <c r="V194" i="7" s="1"/>
  <c r="U194" i="7" a="1"/>
  <c r="U194" i="7" s="1"/>
  <c r="T194" i="7" a="1"/>
  <c r="T194" i="7" s="1"/>
  <c r="S194" i="7" a="1"/>
  <c r="S194" i="7" s="1"/>
  <c r="Y193" i="7" a="1"/>
  <c r="Y193" i="7" s="1"/>
  <c r="X193" i="7" a="1"/>
  <c r="X193" i="7" s="1"/>
  <c r="W193" i="7" a="1"/>
  <c r="W193" i="7" s="1"/>
  <c r="V193" i="7" a="1"/>
  <c r="V193" i="7" s="1"/>
  <c r="U193" i="7" a="1"/>
  <c r="U193" i="7" s="1"/>
  <c r="T193" i="7" a="1"/>
  <c r="T193" i="7" s="1"/>
  <c r="S193" i="7" a="1"/>
  <c r="S193" i="7" s="1"/>
  <c r="Y192" i="7" a="1"/>
  <c r="Y192" i="7" s="1"/>
  <c r="X192" i="7" a="1"/>
  <c r="X192" i="7" s="1"/>
  <c r="W192" i="7" a="1"/>
  <c r="W192" i="7" s="1"/>
  <c r="V192" i="7" a="1"/>
  <c r="V192" i="7" s="1"/>
  <c r="U192" i="7" a="1"/>
  <c r="U192" i="7" s="1"/>
  <c r="T192" i="7" a="1"/>
  <c r="T192" i="7" s="1"/>
  <c r="S192" i="7" a="1"/>
  <c r="S192" i="7" s="1"/>
  <c r="Y191" i="7" a="1"/>
  <c r="Y191" i="7" s="1"/>
  <c r="X191" i="7" a="1"/>
  <c r="X191" i="7" s="1"/>
  <c r="W191" i="7" a="1"/>
  <c r="W191" i="7" s="1"/>
  <c r="V191" i="7" a="1"/>
  <c r="V191" i="7" s="1"/>
  <c r="U191" i="7" a="1"/>
  <c r="U191" i="7" s="1"/>
  <c r="T191" i="7" a="1"/>
  <c r="T191" i="7" s="1"/>
  <c r="S191" i="7" a="1"/>
  <c r="S191" i="7" s="1"/>
  <c r="Y190" i="7" a="1"/>
  <c r="Y190" i="7" s="1"/>
  <c r="X190" i="7" a="1"/>
  <c r="X190" i="7" s="1"/>
  <c r="W190" i="7" a="1"/>
  <c r="W190" i="7" s="1"/>
  <c r="V190" i="7" a="1"/>
  <c r="V190" i="7" s="1"/>
  <c r="U190" i="7" a="1"/>
  <c r="U190" i="7" s="1"/>
  <c r="T190" i="7" a="1"/>
  <c r="T190" i="7" s="1"/>
  <c r="S190" i="7" a="1"/>
  <c r="S190" i="7" s="1"/>
  <c r="Y189" i="7" a="1"/>
  <c r="Y189" i="7" s="1"/>
  <c r="X189" i="7" a="1"/>
  <c r="X189" i="7" s="1"/>
  <c r="W189" i="7" a="1"/>
  <c r="W189" i="7" s="1"/>
  <c r="V189" i="7" a="1"/>
  <c r="V189" i="7" s="1"/>
  <c r="U189" i="7" a="1"/>
  <c r="U189" i="7" s="1"/>
  <c r="T189" i="7" a="1"/>
  <c r="T189" i="7" s="1"/>
  <c r="S189" i="7" a="1"/>
  <c r="S189" i="7" s="1"/>
  <c r="Y188" i="7" a="1"/>
  <c r="Y188" i="7" s="1"/>
  <c r="X188" i="7" a="1"/>
  <c r="X188" i="7" s="1"/>
  <c r="W188" i="7" a="1"/>
  <c r="W188" i="7" s="1"/>
  <c r="V188" i="7" a="1"/>
  <c r="V188" i="7" s="1"/>
  <c r="U188" i="7" a="1"/>
  <c r="U188" i="7" s="1"/>
  <c r="T188" i="7" a="1"/>
  <c r="T188" i="7" s="1"/>
  <c r="S188" i="7" a="1"/>
  <c r="S188" i="7" s="1"/>
  <c r="Y187" i="7" a="1"/>
  <c r="Y187" i="7" s="1"/>
  <c r="X187" i="7" a="1"/>
  <c r="X187" i="7" s="1"/>
  <c r="W187" i="7" a="1"/>
  <c r="W187" i="7" s="1"/>
  <c r="V187" i="7" a="1"/>
  <c r="V187" i="7" s="1"/>
  <c r="U187" i="7" a="1"/>
  <c r="U187" i="7" s="1"/>
  <c r="T187" i="7" a="1"/>
  <c r="T187" i="7" s="1"/>
  <c r="S187" i="7" a="1"/>
  <c r="S187" i="7" s="1"/>
  <c r="Y186" i="7" a="1"/>
  <c r="Y186" i="7" s="1"/>
  <c r="X186" i="7" a="1"/>
  <c r="X186" i="7" s="1"/>
  <c r="W186" i="7" a="1"/>
  <c r="W186" i="7" s="1"/>
  <c r="V186" i="7" a="1"/>
  <c r="V186" i="7" s="1"/>
  <c r="U186" i="7" a="1"/>
  <c r="U186" i="7" s="1"/>
  <c r="T186" i="7" a="1"/>
  <c r="T186" i="7" s="1"/>
  <c r="S186" i="7" a="1"/>
  <c r="S186" i="7" s="1"/>
  <c r="Y185" i="7" a="1"/>
  <c r="Y185" i="7" s="1"/>
  <c r="X185" i="7" a="1"/>
  <c r="X185" i="7" s="1"/>
  <c r="W185" i="7" a="1"/>
  <c r="W185" i="7" s="1"/>
  <c r="V185" i="7" a="1"/>
  <c r="V185" i="7" s="1"/>
  <c r="U185" i="7" a="1"/>
  <c r="U185" i="7" s="1"/>
  <c r="T185" i="7" a="1"/>
  <c r="T185" i="7" s="1"/>
  <c r="S185" i="7" a="1"/>
  <c r="S185" i="7" s="1"/>
  <c r="Y184" i="7" a="1"/>
  <c r="Y184" i="7" s="1"/>
  <c r="X184" i="7" a="1"/>
  <c r="X184" i="7" s="1"/>
  <c r="W184" i="7" a="1"/>
  <c r="W184" i="7" s="1"/>
  <c r="V184" i="7" a="1"/>
  <c r="V184" i="7" s="1"/>
  <c r="U184" i="7" a="1"/>
  <c r="U184" i="7" s="1"/>
  <c r="T184" i="7" a="1"/>
  <c r="T184" i="7" s="1"/>
  <c r="S184" i="7" a="1"/>
  <c r="S184" i="7" s="1"/>
  <c r="Y183" i="7" a="1"/>
  <c r="Y183" i="7" s="1"/>
  <c r="X183" i="7" a="1"/>
  <c r="X183" i="7" s="1"/>
  <c r="W183" i="7" a="1"/>
  <c r="W183" i="7" s="1"/>
  <c r="V183" i="7" a="1"/>
  <c r="V183" i="7" s="1"/>
  <c r="U183" i="7" a="1"/>
  <c r="U183" i="7" s="1"/>
  <c r="T183" i="7" a="1"/>
  <c r="T183" i="7" s="1"/>
  <c r="S183" i="7" a="1"/>
  <c r="S183" i="7" s="1"/>
  <c r="Y182" i="7" a="1"/>
  <c r="Y182" i="7" s="1"/>
  <c r="X182" i="7" a="1"/>
  <c r="X182" i="7" s="1"/>
  <c r="W182" i="7" a="1"/>
  <c r="W182" i="7" s="1"/>
  <c r="V182" i="7" a="1"/>
  <c r="V182" i="7" s="1"/>
  <c r="U182" i="7" a="1"/>
  <c r="U182" i="7" s="1"/>
  <c r="T182" i="7" a="1"/>
  <c r="T182" i="7" s="1"/>
  <c r="S182" i="7" a="1"/>
  <c r="S182" i="7" s="1"/>
  <c r="Y181" i="7" a="1"/>
  <c r="Y181" i="7" s="1"/>
  <c r="X181" i="7" a="1"/>
  <c r="X181" i="7" s="1"/>
  <c r="W181" i="7" a="1"/>
  <c r="W181" i="7" s="1"/>
  <c r="V181" i="7" a="1"/>
  <c r="V181" i="7" s="1"/>
  <c r="U181" i="7" a="1"/>
  <c r="U181" i="7" s="1"/>
  <c r="T181" i="7" a="1"/>
  <c r="T181" i="7" s="1"/>
  <c r="S181" i="7" a="1"/>
  <c r="S181" i="7" s="1"/>
  <c r="Y180" i="7" a="1"/>
  <c r="Y180" i="7" s="1"/>
  <c r="X180" i="7" a="1"/>
  <c r="X180" i="7" s="1"/>
  <c r="W180" i="7" a="1"/>
  <c r="W180" i="7" s="1"/>
  <c r="V180" i="7" a="1"/>
  <c r="V180" i="7" s="1"/>
  <c r="U180" i="7" a="1"/>
  <c r="U180" i="7" s="1"/>
  <c r="T180" i="7" a="1"/>
  <c r="T180" i="7" s="1"/>
  <c r="S180" i="7" a="1"/>
  <c r="S180" i="7" s="1"/>
  <c r="Y179" i="7" a="1"/>
  <c r="Y179" i="7" s="1"/>
  <c r="X179" i="7" a="1"/>
  <c r="X179" i="7" s="1"/>
  <c r="W179" i="7" a="1"/>
  <c r="W179" i="7" s="1"/>
  <c r="V179" i="7" a="1"/>
  <c r="V179" i="7" s="1"/>
  <c r="U179" i="7" a="1"/>
  <c r="U179" i="7" s="1"/>
  <c r="T179" i="7" a="1"/>
  <c r="T179" i="7" s="1"/>
  <c r="S179" i="7" a="1"/>
  <c r="S179" i="7" s="1"/>
  <c r="Y178" i="7" a="1"/>
  <c r="Y178" i="7" s="1"/>
  <c r="X178" i="7" a="1"/>
  <c r="X178" i="7" s="1"/>
  <c r="W178" i="7" a="1"/>
  <c r="W178" i="7" s="1"/>
  <c r="V178" i="7" a="1"/>
  <c r="V178" i="7" s="1"/>
  <c r="U178" i="7" a="1"/>
  <c r="U178" i="7" s="1"/>
  <c r="T178" i="7" a="1"/>
  <c r="T178" i="7" s="1"/>
  <c r="S178" i="7" a="1"/>
  <c r="S178" i="7" s="1"/>
  <c r="Y177" i="7" a="1"/>
  <c r="Y177" i="7" s="1"/>
  <c r="X177" i="7" a="1"/>
  <c r="X177" i="7" s="1"/>
  <c r="W177" i="7" a="1"/>
  <c r="W177" i="7" s="1"/>
  <c r="V177" i="7" a="1"/>
  <c r="V177" i="7" s="1"/>
  <c r="U177" i="7" a="1"/>
  <c r="U177" i="7" s="1"/>
  <c r="T177" i="7" a="1"/>
  <c r="T177" i="7" s="1"/>
  <c r="S177" i="7" a="1"/>
  <c r="S177" i="7" s="1"/>
  <c r="Y176" i="7" a="1"/>
  <c r="Y176" i="7" s="1"/>
  <c r="X176" i="7" a="1"/>
  <c r="X176" i="7" s="1"/>
  <c r="W176" i="7" a="1"/>
  <c r="W176" i="7" s="1"/>
  <c r="V176" i="7" a="1"/>
  <c r="V176" i="7" s="1"/>
  <c r="U176" i="7" a="1"/>
  <c r="U176" i="7" s="1"/>
  <c r="T176" i="7" a="1"/>
  <c r="T176" i="7" s="1"/>
  <c r="S176" i="7" a="1"/>
  <c r="S176" i="7" s="1"/>
  <c r="Y175" i="7" a="1"/>
  <c r="Y175" i="7" s="1"/>
  <c r="X175" i="7" a="1"/>
  <c r="X175" i="7" s="1"/>
  <c r="W175" i="7" a="1"/>
  <c r="W175" i="7" s="1"/>
  <c r="V175" i="7" a="1"/>
  <c r="V175" i="7" s="1"/>
  <c r="U175" i="7" a="1"/>
  <c r="U175" i="7" s="1"/>
  <c r="T175" i="7" a="1"/>
  <c r="T175" i="7" s="1"/>
  <c r="S175" i="7" a="1"/>
  <c r="S175" i="7" s="1"/>
  <c r="Y174" i="7" a="1"/>
  <c r="Y174" i="7" s="1"/>
  <c r="X174" i="7" a="1"/>
  <c r="X174" i="7" s="1"/>
  <c r="W174" i="7" a="1"/>
  <c r="W174" i="7" s="1"/>
  <c r="V174" i="7" a="1"/>
  <c r="V174" i="7" s="1"/>
  <c r="U174" i="7" a="1"/>
  <c r="U174" i="7" s="1"/>
  <c r="T174" i="7" a="1"/>
  <c r="T174" i="7" s="1"/>
  <c r="S174" i="7" a="1"/>
  <c r="S174" i="7" s="1"/>
  <c r="Y173" i="7" a="1"/>
  <c r="Y173" i="7" s="1"/>
  <c r="X173" i="7" a="1"/>
  <c r="X173" i="7" s="1"/>
  <c r="W173" i="7" a="1"/>
  <c r="W173" i="7" s="1"/>
  <c r="V173" i="7" a="1"/>
  <c r="V173" i="7" s="1"/>
  <c r="U173" i="7" a="1"/>
  <c r="U173" i="7" s="1"/>
  <c r="T173" i="7" a="1"/>
  <c r="T173" i="7" s="1"/>
  <c r="S173" i="7" a="1"/>
  <c r="S173" i="7" s="1"/>
  <c r="Y172" i="7" a="1"/>
  <c r="Y172" i="7" s="1"/>
  <c r="X172" i="7" a="1"/>
  <c r="X172" i="7" s="1"/>
  <c r="W172" i="7" a="1"/>
  <c r="W172" i="7" s="1"/>
  <c r="V172" i="7" a="1"/>
  <c r="V172" i="7" s="1"/>
  <c r="U172" i="7" a="1"/>
  <c r="U172" i="7" s="1"/>
  <c r="T172" i="7" a="1"/>
  <c r="T172" i="7" s="1"/>
  <c r="S172" i="7" a="1"/>
  <c r="S172" i="7" s="1"/>
  <c r="Y171" i="7" a="1"/>
  <c r="Y171" i="7" s="1"/>
  <c r="X171" i="7" a="1"/>
  <c r="X171" i="7" s="1"/>
  <c r="W171" i="7" a="1"/>
  <c r="W171" i="7" s="1"/>
  <c r="V171" i="7" a="1"/>
  <c r="V171" i="7" s="1"/>
  <c r="U171" i="7" a="1"/>
  <c r="U171" i="7" s="1"/>
  <c r="T171" i="7" a="1"/>
  <c r="T171" i="7" s="1"/>
  <c r="S171" i="7" a="1"/>
  <c r="S171" i="7" s="1"/>
  <c r="Y170" i="7" a="1"/>
  <c r="Y170" i="7" s="1"/>
  <c r="X170" i="7" a="1"/>
  <c r="X170" i="7" s="1"/>
  <c r="W170" i="7" a="1"/>
  <c r="W170" i="7" s="1"/>
  <c r="V170" i="7" a="1"/>
  <c r="V170" i="7" s="1"/>
  <c r="U170" i="7" a="1"/>
  <c r="U170" i="7" s="1"/>
  <c r="T170" i="7" a="1"/>
  <c r="T170" i="7" s="1"/>
  <c r="S170" i="7" a="1"/>
  <c r="S170" i="7" s="1"/>
  <c r="Y169" i="7" a="1"/>
  <c r="Y169" i="7" s="1"/>
  <c r="X169" i="7" a="1"/>
  <c r="X169" i="7" s="1"/>
  <c r="W169" i="7" a="1"/>
  <c r="W169" i="7" s="1"/>
  <c r="V169" i="7" a="1"/>
  <c r="V169" i="7" s="1"/>
  <c r="U169" i="7" a="1"/>
  <c r="U169" i="7" s="1"/>
  <c r="T169" i="7" a="1"/>
  <c r="T169" i="7" s="1"/>
  <c r="S169" i="7" a="1"/>
  <c r="S169" i="7" s="1"/>
  <c r="Y168" i="7" a="1"/>
  <c r="Y168" i="7" s="1"/>
  <c r="X168" i="7" a="1"/>
  <c r="X168" i="7" s="1"/>
  <c r="W168" i="7" a="1"/>
  <c r="W168" i="7" s="1"/>
  <c r="V168" i="7" a="1"/>
  <c r="V168" i="7" s="1"/>
  <c r="U168" i="7" a="1"/>
  <c r="U168" i="7" s="1"/>
  <c r="T168" i="7" a="1"/>
  <c r="T168" i="7" s="1"/>
  <c r="S168" i="7" a="1"/>
  <c r="S168" i="7" s="1"/>
  <c r="Y167" i="7" a="1"/>
  <c r="Y167" i="7" s="1"/>
  <c r="X167" i="7" a="1"/>
  <c r="X167" i="7" s="1"/>
  <c r="W167" i="7" a="1"/>
  <c r="W167" i="7" s="1"/>
  <c r="V167" i="7" a="1"/>
  <c r="V167" i="7" s="1"/>
  <c r="U167" i="7" a="1"/>
  <c r="U167" i="7" s="1"/>
  <c r="T167" i="7" a="1"/>
  <c r="T167" i="7" s="1"/>
  <c r="S167" i="7" a="1"/>
  <c r="S167" i="7" s="1"/>
  <c r="Y166" i="7" a="1"/>
  <c r="Y166" i="7" s="1"/>
  <c r="X166" i="7" a="1"/>
  <c r="X166" i="7" s="1"/>
  <c r="W166" i="7" a="1"/>
  <c r="W166" i="7" s="1"/>
  <c r="V166" i="7" a="1"/>
  <c r="V166" i="7" s="1"/>
  <c r="U166" i="7" a="1"/>
  <c r="U166" i="7" s="1"/>
  <c r="T166" i="7" a="1"/>
  <c r="T166" i="7" s="1"/>
  <c r="S166" i="7" a="1"/>
  <c r="S166" i="7" s="1"/>
  <c r="Y165" i="7" a="1"/>
  <c r="Y165" i="7" s="1"/>
  <c r="X165" i="7" a="1"/>
  <c r="X165" i="7" s="1"/>
  <c r="W165" i="7" a="1"/>
  <c r="W165" i="7" s="1"/>
  <c r="V165" i="7" a="1"/>
  <c r="V165" i="7" s="1"/>
  <c r="U165" i="7" a="1"/>
  <c r="U165" i="7" s="1"/>
  <c r="T165" i="7" a="1"/>
  <c r="T165" i="7" s="1"/>
  <c r="S165" i="7" a="1"/>
  <c r="S165" i="7" s="1"/>
  <c r="Y164" i="7" a="1"/>
  <c r="Y164" i="7" s="1"/>
  <c r="X164" i="7" a="1"/>
  <c r="X164" i="7" s="1"/>
  <c r="W164" i="7" a="1"/>
  <c r="W164" i="7" s="1"/>
  <c r="V164" i="7" a="1"/>
  <c r="V164" i="7" s="1"/>
  <c r="U164" i="7" a="1"/>
  <c r="U164" i="7" s="1"/>
  <c r="T164" i="7" a="1"/>
  <c r="T164" i="7" s="1"/>
  <c r="S164" i="7" a="1"/>
  <c r="S164" i="7" s="1"/>
  <c r="Y163" i="7" a="1"/>
  <c r="Y163" i="7" s="1"/>
  <c r="X163" i="7" a="1"/>
  <c r="X163" i="7" s="1"/>
  <c r="W163" i="7" a="1"/>
  <c r="W163" i="7" s="1"/>
  <c r="V163" i="7" a="1"/>
  <c r="V163" i="7" s="1"/>
  <c r="U163" i="7" a="1"/>
  <c r="U163" i="7" s="1"/>
  <c r="T163" i="7" a="1"/>
  <c r="T163" i="7" s="1"/>
  <c r="S163" i="7" a="1"/>
  <c r="S163" i="7" s="1"/>
  <c r="Y162" i="7" a="1"/>
  <c r="Y162" i="7" s="1"/>
  <c r="X162" i="7" a="1"/>
  <c r="X162" i="7" s="1"/>
  <c r="W162" i="7" a="1"/>
  <c r="W162" i="7" s="1"/>
  <c r="V162" i="7" a="1"/>
  <c r="V162" i="7" s="1"/>
  <c r="U162" i="7" a="1"/>
  <c r="U162" i="7" s="1"/>
  <c r="T162" i="7" a="1"/>
  <c r="T162" i="7" s="1"/>
  <c r="S162" i="7" a="1"/>
  <c r="S162" i="7" s="1"/>
  <c r="Y161" i="7" a="1"/>
  <c r="Y161" i="7" s="1"/>
  <c r="X161" i="7" a="1"/>
  <c r="X161" i="7" s="1"/>
  <c r="W161" i="7" a="1"/>
  <c r="W161" i="7" s="1"/>
  <c r="V161" i="7" a="1"/>
  <c r="V161" i="7" s="1"/>
  <c r="U161" i="7" a="1"/>
  <c r="U161" i="7" s="1"/>
  <c r="T161" i="7" a="1"/>
  <c r="T161" i="7" s="1"/>
  <c r="S161" i="7" a="1"/>
  <c r="S161" i="7" s="1"/>
  <c r="Y160" i="7" a="1"/>
  <c r="Y160" i="7" s="1"/>
  <c r="X160" i="7" a="1"/>
  <c r="X160" i="7" s="1"/>
  <c r="W160" i="7" a="1"/>
  <c r="W160" i="7" s="1"/>
  <c r="V160" i="7" a="1"/>
  <c r="V160" i="7" s="1"/>
  <c r="U160" i="7" a="1"/>
  <c r="U160" i="7" s="1"/>
  <c r="T160" i="7" a="1"/>
  <c r="T160" i="7" s="1"/>
  <c r="S160" i="7" a="1"/>
  <c r="S160" i="7" s="1"/>
  <c r="Y159" i="7" a="1"/>
  <c r="Y159" i="7" s="1"/>
  <c r="X159" i="7" a="1"/>
  <c r="X159" i="7" s="1"/>
  <c r="W159" i="7" a="1"/>
  <c r="W159" i="7" s="1"/>
  <c r="V159" i="7" a="1"/>
  <c r="V159" i="7" s="1"/>
  <c r="U159" i="7" a="1"/>
  <c r="U159" i="7" s="1"/>
  <c r="T159" i="7" a="1"/>
  <c r="T159" i="7" s="1"/>
  <c r="S159" i="7" a="1"/>
  <c r="S159" i="7" s="1"/>
  <c r="Y158" i="7" a="1"/>
  <c r="Y158" i="7" s="1"/>
  <c r="X158" i="7" a="1"/>
  <c r="X158" i="7" s="1"/>
  <c r="W158" i="7" a="1"/>
  <c r="W158" i="7" s="1"/>
  <c r="V158" i="7" a="1"/>
  <c r="V158" i="7" s="1"/>
  <c r="U158" i="7" a="1"/>
  <c r="U158" i="7" s="1"/>
  <c r="T158" i="7" a="1"/>
  <c r="T158" i="7" s="1"/>
  <c r="S158" i="7" a="1"/>
  <c r="S158" i="7" s="1"/>
  <c r="Y157" i="7" a="1"/>
  <c r="Y157" i="7" s="1"/>
  <c r="X157" i="7" a="1"/>
  <c r="X157" i="7" s="1"/>
  <c r="W157" i="7" a="1"/>
  <c r="W157" i="7" s="1"/>
  <c r="V157" i="7" a="1"/>
  <c r="V157" i="7" s="1"/>
  <c r="U157" i="7" a="1"/>
  <c r="U157" i="7" s="1"/>
  <c r="T157" i="7" a="1"/>
  <c r="T157" i="7" s="1"/>
  <c r="S157" i="7" a="1"/>
  <c r="S157" i="7" s="1"/>
  <c r="Y156" i="7" a="1"/>
  <c r="Y156" i="7" s="1"/>
  <c r="X156" i="7" a="1"/>
  <c r="X156" i="7" s="1"/>
  <c r="W156" i="7" a="1"/>
  <c r="W156" i="7" s="1"/>
  <c r="V156" i="7" a="1"/>
  <c r="V156" i="7" s="1"/>
  <c r="U156" i="7" a="1"/>
  <c r="U156" i="7" s="1"/>
  <c r="T156" i="7" a="1"/>
  <c r="T156" i="7" s="1"/>
  <c r="S156" i="7" a="1"/>
  <c r="S156" i="7" s="1"/>
  <c r="Y155" i="7" a="1"/>
  <c r="Y155" i="7" s="1"/>
  <c r="X155" i="7" a="1"/>
  <c r="X155" i="7" s="1"/>
  <c r="W155" i="7" a="1"/>
  <c r="W155" i="7" s="1"/>
  <c r="V155" i="7" a="1"/>
  <c r="V155" i="7" s="1"/>
  <c r="U155" i="7" a="1"/>
  <c r="U155" i="7" s="1"/>
  <c r="T155" i="7" a="1"/>
  <c r="T155" i="7" s="1"/>
  <c r="S155" i="7" a="1"/>
  <c r="S155" i="7" s="1"/>
  <c r="Y154" i="7" a="1"/>
  <c r="Y154" i="7" s="1"/>
  <c r="X154" i="7" a="1"/>
  <c r="X154" i="7" s="1"/>
  <c r="W154" i="7" a="1"/>
  <c r="W154" i="7" s="1"/>
  <c r="V154" i="7" a="1"/>
  <c r="V154" i="7" s="1"/>
  <c r="U154" i="7" a="1"/>
  <c r="U154" i="7" s="1"/>
  <c r="T154" i="7" a="1"/>
  <c r="T154" i="7" s="1"/>
  <c r="S154" i="7" a="1"/>
  <c r="S154" i="7" s="1"/>
  <c r="Y153" i="7" a="1"/>
  <c r="Y153" i="7" s="1"/>
  <c r="X153" i="7" a="1"/>
  <c r="X153" i="7" s="1"/>
  <c r="W153" i="7" a="1"/>
  <c r="W153" i="7" s="1"/>
  <c r="V153" i="7" a="1"/>
  <c r="V153" i="7" s="1"/>
  <c r="U153" i="7" a="1"/>
  <c r="U153" i="7" s="1"/>
  <c r="T153" i="7" a="1"/>
  <c r="T153" i="7" s="1"/>
  <c r="S153" i="7" a="1"/>
  <c r="S153" i="7" s="1"/>
  <c r="Y152" i="7" a="1"/>
  <c r="Y152" i="7" s="1"/>
  <c r="X152" i="7" a="1"/>
  <c r="X152" i="7" s="1"/>
  <c r="W152" i="7" a="1"/>
  <c r="W152" i="7" s="1"/>
  <c r="V152" i="7" a="1"/>
  <c r="V152" i="7" s="1"/>
  <c r="U152" i="7" a="1"/>
  <c r="U152" i="7" s="1"/>
  <c r="T152" i="7" a="1"/>
  <c r="T152" i="7" s="1"/>
  <c r="S152" i="7" a="1"/>
  <c r="S152" i="7" s="1"/>
  <c r="Y151" i="7" a="1"/>
  <c r="Y151" i="7" s="1"/>
  <c r="X151" i="7" a="1"/>
  <c r="X151" i="7" s="1"/>
  <c r="W151" i="7" a="1"/>
  <c r="W151" i="7" s="1"/>
  <c r="V151" i="7" a="1"/>
  <c r="V151" i="7" s="1"/>
  <c r="U151" i="7" a="1"/>
  <c r="U151" i="7" s="1"/>
  <c r="T151" i="7" a="1"/>
  <c r="T151" i="7" s="1"/>
  <c r="S151" i="7" a="1"/>
  <c r="S151" i="7" s="1"/>
  <c r="Y150" i="7" a="1"/>
  <c r="Y150" i="7" s="1"/>
  <c r="X150" i="7" a="1"/>
  <c r="X150" i="7" s="1"/>
  <c r="W150" i="7" a="1"/>
  <c r="W150" i="7" s="1"/>
  <c r="V150" i="7" a="1"/>
  <c r="V150" i="7" s="1"/>
  <c r="U150" i="7" a="1"/>
  <c r="U150" i="7" s="1"/>
  <c r="T150" i="7" a="1"/>
  <c r="T150" i="7" s="1"/>
  <c r="S150" i="7" a="1"/>
  <c r="S150" i="7" s="1"/>
  <c r="Y149" i="7" a="1"/>
  <c r="Y149" i="7" s="1"/>
  <c r="X149" i="7" a="1"/>
  <c r="X149" i="7" s="1"/>
  <c r="W149" i="7" a="1"/>
  <c r="W149" i="7" s="1"/>
  <c r="V149" i="7" a="1"/>
  <c r="V149" i="7" s="1"/>
  <c r="U149" i="7" a="1"/>
  <c r="U149" i="7" s="1"/>
  <c r="T149" i="7" a="1"/>
  <c r="T149" i="7" s="1"/>
  <c r="S149" i="7" a="1"/>
  <c r="S149" i="7" s="1"/>
  <c r="Y148" i="7" a="1"/>
  <c r="Y148" i="7" s="1"/>
  <c r="X148" i="7" a="1"/>
  <c r="X148" i="7" s="1"/>
  <c r="W148" i="7" a="1"/>
  <c r="W148" i="7" s="1"/>
  <c r="V148" i="7" a="1"/>
  <c r="V148" i="7" s="1"/>
  <c r="U148" i="7" a="1"/>
  <c r="U148" i="7" s="1"/>
  <c r="T148" i="7" a="1"/>
  <c r="T148" i="7" s="1"/>
  <c r="S148" i="7" a="1"/>
  <c r="S148" i="7" s="1"/>
  <c r="Y147" i="7" a="1"/>
  <c r="Y147" i="7" s="1"/>
  <c r="X147" i="7" a="1"/>
  <c r="X147" i="7" s="1"/>
  <c r="W147" i="7" a="1"/>
  <c r="W147" i="7" s="1"/>
  <c r="V147" i="7" a="1"/>
  <c r="V147" i="7" s="1"/>
  <c r="U147" i="7" a="1"/>
  <c r="U147" i="7" s="1"/>
  <c r="T147" i="7" a="1"/>
  <c r="T147" i="7" s="1"/>
  <c r="S147" i="7" a="1"/>
  <c r="S147" i="7" s="1"/>
  <c r="Y146" i="7" a="1"/>
  <c r="Y146" i="7" s="1"/>
  <c r="X146" i="7" a="1"/>
  <c r="X146" i="7" s="1"/>
  <c r="W146" i="7" a="1"/>
  <c r="W146" i="7" s="1"/>
  <c r="V146" i="7" a="1"/>
  <c r="V146" i="7" s="1"/>
  <c r="U146" i="7" a="1"/>
  <c r="U146" i="7" s="1"/>
  <c r="T146" i="7" a="1"/>
  <c r="T146" i="7" s="1"/>
  <c r="S146" i="7" a="1"/>
  <c r="S146" i="7" s="1"/>
  <c r="Y145" i="7" a="1"/>
  <c r="Y145" i="7" s="1"/>
  <c r="X145" i="7" a="1"/>
  <c r="X145" i="7" s="1"/>
  <c r="W145" i="7" a="1"/>
  <c r="W145" i="7" s="1"/>
  <c r="V145" i="7" a="1"/>
  <c r="V145" i="7" s="1"/>
  <c r="U145" i="7" a="1"/>
  <c r="U145" i="7" s="1"/>
  <c r="T145" i="7" a="1"/>
  <c r="T145" i="7" s="1"/>
  <c r="S145" i="7" a="1"/>
  <c r="S145" i="7" s="1"/>
  <c r="Y144" i="7" a="1"/>
  <c r="Y144" i="7" s="1"/>
  <c r="X144" i="7" a="1"/>
  <c r="X144" i="7" s="1"/>
  <c r="W144" i="7" a="1"/>
  <c r="W144" i="7" s="1"/>
  <c r="V144" i="7" a="1"/>
  <c r="V144" i="7" s="1"/>
  <c r="U144" i="7" a="1"/>
  <c r="U144" i="7" s="1"/>
  <c r="T144" i="7" a="1"/>
  <c r="T144" i="7" s="1"/>
  <c r="S144" i="7" a="1"/>
  <c r="S144" i="7" s="1"/>
  <c r="Y143" i="7" a="1"/>
  <c r="Y143" i="7" s="1"/>
  <c r="X143" i="7" a="1"/>
  <c r="X143" i="7" s="1"/>
  <c r="W143" i="7" a="1"/>
  <c r="W143" i="7" s="1"/>
  <c r="V143" i="7" a="1"/>
  <c r="V143" i="7" s="1"/>
  <c r="U143" i="7" a="1"/>
  <c r="U143" i="7" s="1"/>
  <c r="T143" i="7" a="1"/>
  <c r="T143" i="7" s="1"/>
  <c r="S143" i="7" a="1"/>
  <c r="S143" i="7" s="1"/>
  <c r="Y142" i="7" a="1"/>
  <c r="Y142" i="7" s="1"/>
  <c r="X142" i="7" a="1"/>
  <c r="X142" i="7" s="1"/>
  <c r="W142" i="7" a="1"/>
  <c r="W142" i="7" s="1"/>
  <c r="V142" i="7" a="1"/>
  <c r="V142" i="7" s="1"/>
  <c r="U142" i="7" a="1"/>
  <c r="U142" i="7" s="1"/>
  <c r="T142" i="7" a="1"/>
  <c r="T142" i="7" s="1"/>
  <c r="S142" i="7" a="1"/>
  <c r="S142" i="7" s="1"/>
  <c r="Y141" i="7" a="1"/>
  <c r="Y141" i="7" s="1"/>
  <c r="X141" i="7" a="1"/>
  <c r="X141" i="7" s="1"/>
  <c r="W141" i="7" a="1"/>
  <c r="W141" i="7" s="1"/>
  <c r="V141" i="7" a="1"/>
  <c r="V141" i="7" s="1"/>
  <c r="U141" i="7" a="1"/>
  <c r="U141" i="7" s="1"/>
  <c r="T141" i="7" a="1"/>
  <c r="T141" i="7" s="1"/>
  <c r="S141" i="7" a="1"/>
  <c r="S141" i="7" s="1"/>
  <c r="Y140" i="7" a="1"/>
  <c r="Y140" i="7" s="1"/>
  <c r="X140" i="7" a="1"/>
  <c r="X140" i="7" s="1"/>
  <c r="W140" i="7" a="1"/>
  <c r="W140" i="7" s="1"/>
  <c r="V140" i="7" a="1"/>
  <c r="V140" i="7" s="1"/>
  <c r="U140" i="7" a="1"/>
  <c r="U140" i="7" s="1"/>
  <c r="T140" i="7" a="1"/>
  <c r="T140" i="7" s="1"/>
  <c r="S140" i="7" a="1"/>
  <c r="S140" i="7" s="1"/>
  <c r="Y139" i="7" a="1"/>
  <c r="Y139" i="7" s="1"/>
  <c r="X139" i="7" a="1"/>
  <c r="X139" i="7" s="1"/>
  <c r="W139" i="7" a="1"/>
  <c r="W139" i="7" s="1"/>
  <c r="V139" i="7" a="1"/>
  <c r="V139" i="7" s="1"/>
  <c r="U139" i="7" a="1"/>
  <c r="U139" i="7" s="1"/>
  <c r="T139" i="7" a="1"/>
  <c r="T139" i="7" s="1"/>
  <c r="S139" i="7" a="1"/>
  <c r="S139" i="7" s="1"/>
  <c r="Y138" i="7" a="1"/>
  <c r="Y138" i="7" s="1"/>
  <c r="X138" i="7" a="1"/>
  <c r="X138" i="7" s="1"/>
  <c r="W138" i="7" a="1"/>
  <c r="W138" i="7" s="1"/>
  <c r="V138" i="7" a="1"/>
  <c r="V138" i="7" s="1"/>
  <c r="U138" i="7" a="1"/>
  <c r="U138" i="7" s="1"/>
  <c r="T138" i="7" a="1"/>
  <c r="T138" i="7" s="1"/>
  <c r="S138" i="7" a="1"/>
  <c r="S138" i="7" s="1"/>
  <c r="Y137" i="7" a="1"/>
  <c r="Y137" i="7" s="1"/>
  <c r="X137" i="7" a="1"/>
  <c r="X137" i="7" s="1"/>
  <c r="W137" i="7" a="1"/>
  <c r="W137" i="7" s="1"/>
  <c r="V137" i="7" a="1"/>
  <c r="V137" i="7" s="1"/>
  <c r="U137" i="7" a="1"/>
  <c r="U137" i="7" s="1"/>
  <c r="T137" i="7" a="1"/>
  <c r="T137" i="7" s="1"/>
  <c r="S137" i="7" a="1"/>
  <c r="S137" i="7" s="1"/>
  <c r="Y136" i="7" a="1"/>
  <c r="Y136" i="7" s="1"/>
  <c r="X136" i="7" a="1"/>
  <c r="X136" i="7" s="1"/>
  <c r="W136" i="7" a="1"/>
  <c r="W136" i="7" s="1"/>
  <c r="V136" i="7" a="1"/>
  <c r="V136" i="7" s="1"/>
  <c r="U136" i="7" a="1"/>
  <c r="U136" i="7" s="1"/>
  <c r="T136" i="7" a="1"/>
  <c r="T136" i="7" s="1"/>
  <c r="S136" i="7" a="1"/>
  <c r="S136" i="7" s="1"/>
  <c r="Y135" i="7" a="1"/>
  <c r="Y135" i="7" s="1"/>
  <c r="X135" i="7" a="1"/>
  <c r="X135" i="7" s="1"/>
  <c r="W135" i="7" a="1"/>
  <c r="W135" i="7" s="1"/>
  <c r="V135" i="7" a="1"/>
  <c r="V135" i="7" s="1"/>
  <c r="U135" i="7" a="1"/>
  <c r="U135" i="7" s="1"/>
  <c r="T135" i="7" a="1"/>
  <c r="T135" i="7" s="1"/>
  <c r="S135" i="7" a="1"/>
  <c r="S135" i="7" s="1"/>
  <c r="Y134" i="7" a="1"/>
  <c r="Y134" i="7" s="1"/>
  <c r="X134" i="7" a="1"/>
  <c r="X134" i="7" s="1"/>
  <c r="W134" i="7" a="1"/>
  <c r="W134" i="7" s="1"/>
  <c r="V134" i="7" a="1"/>
  <c r="V134" i="7" s="1"/>
  <c r="U134" i="7" a="1"/>
  <c r="U134" i="7" s="1"/>
  <c r="T134" i="7" a="1"/>
  <c r="T134" i="7" s="1"/>
  <c r="S134" i="7" a="1"/>
  <c r="S134" i="7" s="1"/>
  <c r="Y133" i="7" a="1"/>
  <c r="Y133" i="7" s="1"/>
  <c r="X133" i="7" a="1"/>
  <c r="X133" i="7" s="1"/>
  <c r="W133" i="7" a="1"/>
  <c r="W133" i="7" s="1"/>
  <c r="V133" i="7" a="1"/>
  <c r="V133" i="7" s="1"/>
  <c r="U133" i="7" a="1"/>
  <c r="U133" i="7" s="1"/>
  <c r="T133" i="7" a="1"/>
  <c r="T133" i="7" s="1"/>
  <c r="S133" i="7" a="1"/>
  <c r="S133" i="7" s="1"/>
  <c r="Y132" i="7" a="1"/>
  <c r="Y132" i="7" s="1"/>
  <c r="X132" i="7" a="1"/>
  <c r="X132" i="7" s="1"/>
  <c r="W132" i="7" a="1"/>
  <c r="W132" i="7" s="1"/>
  <c r="V132" i="7" a="1"/>
  <c r="V132" i="7" s="1"/>
  <c r="U132" i="7" a="1"/>
  <c r="U132" i="7" s="1"/>
  <c r="T132" i="7" a="1"/>
  <c r="T132" i="7" s="1"/>
  <c r="S132" i="7" a="1"/>
  <c r="S132" i="7" s="1"/>
  <c r="Y131" i="7" a="1"/>
  <c r="Y131" i="7" s="1"/>
  <c r="X131" i="7" a="1"/>
  <c r="X131" i="7" s="1"/>
  <c r="W131" i="7" a="1"/>
  <c r="W131" i="7" s="1"/>
  <c r="V131" i="7" a="1"/>
  <c r="V131" i="7" s="1"/>
  <c r="U131" i="7" a="1"/>
  <c r="U131" i="7" s="1"/>
  <c r="T131" i="7" a="1"/>
  <c r="T131" i="7" s="1"/>
  <c r="S131" i="7" a="1"/>
  <c r="S131" i="7" s="1"/>
  <c r="Y130" i="7" a="1"/>
  <c r="Y130" i="7" s="1"/>
  <c r="X130" i="7" a="1"/>
  <c r="X130" i="7" s="1"/>
  <c r="W130" i="7" a="1"/>
  <c r="W130" i="7" s="1"/>
  <c r="V130" i="7" a="1"/>
  <c r="V130" i="7" s="1"/>
  <c r="U130" i="7" a="1"/>
  <c r="U130" i="7" s="1"/>
  <c r="T130" i="7" a="1"/>
  <c r="T130" i="7" s="1"/>
  <c r="S130" i="7" a="1"/>
  <c r="S130" i="7" s="1"/>
  <c r="Y129" i="7" a="1"/>
  <c r="Y129" i="7" s="1"/>
  <c r="X129" i="7" a="1"/>
  <c r="X129" i="7" s="1"/>
  <c r="W129" i="7" a="1"/>
  <c r="W129" i="7" s="1"/>
  <c r="V129" i="7" a="1"/>
  <c r="V129" i="7" s="1"/>
  <c r="U129" i="7" a="1"/>
  <c r="U129" i="7" s="1"/>
  <c r="T129" i="7" a="1"/>
  <c r="T129" i="7" s="1"/>
  <c r="S129" i="7" a="1"/>
  <c r="S129" i="7" s="1"/>
  <c r="Y128" i="7" a="1"/>
  <c r="Y128" i="7" s="1"/>
  <c r="X128" i="7" a="1"/>
  <c r="X128" i="7" s="1"/>
  <c r="W128" i="7" a="1"/>
  <c r="W128" i="7" s="1"/>
  <c r="V128" i="7" a="1"/>
  <c r="V128" i="7" s="1"/>
  <c r="U128" i="7" a="1"/>
  <c r="U128" i="7" s="1"/>
  <c r="T128" i="7" a="1"/>
  <c r="T128" i="7" s="1"/>
  <c r="S128" i="7" a="1"/>
  <c r="S128" i="7" s="1"/>
  <c r="Y127" i="7" a="1"/>
  <c r="Y127" i="7" s="1"/>
  <c r="X127" i="7" a="1"/>
  <c r="X127" i="7" s="1"/>
  <c r="W127" i="7" a="1"/>
  <c r="W127" i="7" s="1"/>
  <c r="V127" i="7" a="1"/>
  <c r="V127" i="7" s="1"/>
  <c r="U127" i="7" a="1"/>
  <c r="U127" i="7" s="1"/>
  <c r="T127" i="7" a="1"/>
  <c r="T127" i="7" s="1"/>
  <c r="S127" i="7" a="1"/>
  <c r="S127" i="7" s="1"/>
  <c r="Y126" i="7" a="1"/>
  <c r="Y126" i="7" s="1"/>
  <c r="X126" i="7" a="1"/>
  <c r="X126" i="7" s="1"/>
  <c r="W126" i="7" a="1"/>
  <c r="W126" i="7" s="1"/>
  <c r="V126" i="7" a="1"/>
  <c r="V126" i="7" s="1"/>
  <c r="U126" i="7" a="1"/>
  <c r="U126" i="7" s="1"/>
  <c r="T126" i="7" a="1"/>
  <c r="T126" i="7" s="1"/>
  <c r="S126" i="7" a="1"/>
  <c r="S126" i="7" s="1"/>
  <c r="Y125" i="7" a="1"/>
  <c r="Y125" i="7" s="1"/>
  <c r="X125" i="7" a="1"/>
  <c r="X125" i="7" s="1"/>
  <c r="W125" i="7" a="1"/>
  <c r="W125" i="7" s="1"/>
  <c r="V125" i="7" a="1"/>
  <c r="V125" i="7" s="1"/>
  <c r="U125" i="7" a="1"/>
  <c r="U125" i="7" s="1"/>
  <c r="T125" i="7" a="1"/>
  <c r="T125" i="7" s="1"/>
  <c r="S125" i="7" a="1"/>
  <c r="S125" i="7" s="1"/>
  <c r="Y124" i="7" a="1"/>
  <c r="Y124" i="7" s="1"/>
  <c r="X124" i="7" a="1"/>
  <c r="X124" i="7" s="1"/>
  <c r="W124" i="7" a="1"/>
  <c r="W124" i="7" s="1"/>
  <c r="V124" i="7" a="1"/>
  <c r="V124" i="7" s="1"/>
  <c r="U124" i="7" a="1"/>
  <c r="U124" i="7" s="1"/>
  <c r="T124" i="7" a="1"/>
  <c r="T124" i="7" s="1"/>
  <c r="S124" i="7" a="1"/>
  <c r="S124" i="7" s="1"/>
  <c r="Y123" i="7" a="1"/>
  <c r="Y123" i="7" s="1"/>
  <c r="X123" i="7" a="1"/>
  <c r="X123" i="7" s="1"/>
  <c r="W123" i="7" a="1"/>
  <c r="W123" i="7" s="1"/>
  <c r="V123" i="7" a="1"/>
  <c r="V123" i="7" s="1"/>
  <c r="U123" i="7" a="1"/>
  <c r="U123" i="7" s="1"/>
  <c r="T123" i="7" a="1"/>
  <c r="T123" i="7" s="1"/>
  <c r="S123" i="7" a="1"/>
  <c r="S123" i="7" s="1"/>
  <c r="Y122" i="7" a="1"/>
  <c r="Y122" i="7" s="1"/>
  <c r="X122" i="7" a="1"/>
  <c r="X122" i="7" s="1"/>
  <c r="W122" i="7" a="1"/>
  <c r="W122" i="7" s="1"/>
  <c r="V122" i="7" a="1"/>
  <c r="V122" i="7" s="1"/>
  <c r="U122" i="7" a="1"/>
  <c r="U122" i="7" s="1"/>
  <c r="T122" i="7" a="1"/>
  <c r="T122" i="7" s="1"/>
  <c r="S122" i="7" a="1"/>
  <c r="S122" i="7" s="1"/>
  <c r="Y121" i="7" a="1"/>
  <c r="Y121" i="7" s="1"/>
  <c r="X121" i="7" a="1"/>
  <c r="X121" i="7" s="1"/>
  <c r="W121" i="7" a="1"/>
  <c r="W121" i="7" s="1"/>
  <c r="V121" i="7" a="1"/>
  <c r="V121" i="7" s="1"/>
  <c r="U121" i="7" a="1"/>
  <c r="U121" i="7" s="1"/>
  <c r="T121" i="7" a="1"/>
  <c r="T121" i="7" s="1"/>
  <c r="S121" i="7" a="1"/>
  <c r="S121" i="7" s="1"/>
  <c r="Y120" i="7" a="1"/>
  <c r="Y120" i="7" s="1"/>
  <c r="X120" i="7" a="1"/>
  <c r="X120" i="7" s="1"/>
  <c r="W120" i="7" a="1"/>
  <c r="W120" i="7" s="1"/>
  <c r="V120" i="7" a="1"/>
  <c r="V120" i="7" s="1"/>
  <c r="U120" i="7" a="1"/>
  <c r="U120" i="7" s="1"/>
  <c r="T120" i="7" a="1"/>
  <c r="T120" i="7" s="1"/>
  <c r="S120" i="7" a="1"/>
  <c r="S120" i="7" s="1"/>
  <c r="Y119" i="7" a="1"/>
  <c r="Y119" i="7" s="1"/>
  <c r="X119" i="7" a="1"/>
  <c r="X119" i="7" s="1"/>
  <c r="W119" i="7" a="1"/>
  <c r="W119" i="7" s="1"/>
  <c r="V119" i="7" a="1"/>
  <c r="V119" i="7" s="1"/>
  <c r="U119" i="7" a="1"/>
  <c r="U119" i="7" s="1"/>
  <c r="T119" i="7" a="1"/>
  <c r="T119" i="7" s="1"/>
  <c r="S119" i="7" a="1"/>
  <c r="S119" i="7" s="1"/>
  <c r="Y118" i="7" a="1"/>
  <c r="Y118" i="7" s="1"/>
  <c r="X118" i="7" a="1"/>
  <c r="X118" i="7" s="1"/>
  <c r="W118" i="7" a="1"/>
  <c r="W118" i="7" s="1"/>
  <c r="V118" i="7" a="1"/>
  <c r="V118" i="7" s="1"/>
  <c r="U118" i="7" a="1"/>
  <c r="U118" i="7" s="1"/>
  <c r="T118" i="7" a="1"/>
  <c r="T118" i="7" s="1"/>
  <c r="S118" i="7" a="1"/>
  <c r="S118" i="7" s="1"/>
  <c r="Y117" i="7" a="1"/>
  <c r="Y117" i="7" s="1"/>
  <c r="X117" i="7" a="1"/>
  <c r="X117" i="7" s="1"/>
  <c r="W117" i="7" a="1"/>
  <c r="W117" i="7" s="1"/>
  <c r="V117" i="7" a="1"/>
  <c r="V117" i="7" s="1"/>
  <c r="U117" i="7" a="1"/>
  <c r="U117" i="7" s="1"/>
  <c r="T117" i="7" a="1"/>
  <c r="T117" i="7" s="1"/>
  <c r="S117" i="7" a="1"/>
  <c r="S117" i="7" s="1"/>
  <c r="Y116" i="7" a="1"/>
  <c r="Y116" i="7" s="1"/>
  <c r="X116" i="7" a="1"/>
  <c r="X116" i="7" s="1"/>
  <c r="W116" i="7" a="1"/>
  <c r="W116" i="7" s="1"/>
  <c r="V116" i="7" a="1"/>
  <c r="V116" i="7" s="1"/>
  <c r="U116" i="7" a="1"/>
  <c r="U116" i="7" s="1"/>
  <c r="T116" i="7" a="1"/>
  <c r="T116" i="7" s="1"/>
  <c r="S116" i="7" a="1"/>
  <c r="S116" i="7" s="1"/>
  <c r="Y115" i="7" a="1"/>
  <c r="Y115" i="7" s="1"/>
  <c r="X115" i="7" a="1"/>
  <c r="X115" i="7" s="1"/>
  <c r="W115" i="7" a="1"/>
  <c r="W115" i="7" s="1"/>
  <c r="V115" i="7" a="1"/>
  <c r="V115" i="7" s="1"/>
  <c r="U115" i="7" a="1"/>
  <c r="U115" i="7" s="1"/>
  <c r="T115" i="7" a="1"/>
  <c r="T115" i="7" s="1"/>
  <c r="S115" i="7" a="1"/>
  <c r="S115" i="7" s="1"/>
  <c r="Y114" i="7" a="1"/>
  <c r="Y114" i="7" s="1"/>
  <c r="X114" i="7" a="1"/>
  <c r="X114" i="7" s="1"/>
  <c r="W114" i="7" a="1"/>
  <c r="W114" i="7" s="1"/>
  <c r="V114" i="7" a="1"/>
  <c r="V114" i="7" s="1"/>
  <c r="U114" i="7" a="1"/>
  <c r="U114" i="7" s="1"/>
  <c r="T114" i="7" a="1"/>
  <c r="T114" i="7" s="1"/>
  <c r="S114" i="7" a="1"/>
  <c r="S114" i="7" s="1"/>
  <c r="Y113" i="7" a="1"/>
  <c r="Y113" i="7" s="1"/>
  <c r="X113" i="7" a="1"/>
  <c r="X113" i="7" s="1"/>
  <c r="W113" i="7" a="1"/>
  <c r="W113" i="7" s="1"/>
  <c r="V113" i="7" a="1"/>
  <c r="V113" i="7" s="1"/>
  <c r="U113" i="7" a="1"/>
  <c r="U113" i="7" s="1"/>
  <c r="T113" i="7" a="1"/>
  <c r="T113" i="7" s="1"/>
  <c r="S113" i="7" a="1"/>
  <c r="S113" i="7" s="1"/>
  <c r="Y112" i="7" a="1"/>
  <c r="Y112" i="7" s="1"/>
  <c r="X112" i="7" a="1"/>
  <c r="X112" i="7" s="1"/>
  <c r="W112" i="7" a="1"/>
  <c r="W112" i="7" s="1"/>
  <c r="V112" i="7" a="1"/>
  <c r="V112" i="7" s="1"/>
  <c r="U112" i="7" a="1"/>
  <c r="U112" i="7" s="1"/>
  <c r="T112" i="7" a="1"/>
  <c r="T112" i="7" s="1"/>
  <c r="S112" i="7" a="1"/>
  <c r="S112" i="7" s="1"/>
  <c r="Y111" i="7" a="1"/>
  <c r="Y111" i="7" s="1"/>
  <c r="X111" i="7" a="1"/>
  <c r="X111" i="7" s="1"/>
  <c r="W111" i="7" a="1"/>
  <c r="W111" i="7" s="1"/>
  <c r="V111" i="7" a="1"/>
  <c r="V111" i="7" s="1"/>
  <c r="U111" i="7" a="1"/>
  <c r="U111" i="7" s="1"/>
  <c r="T111" i="7" a="1"/>
  <c r="T111" i="7" s="1"/>
  <c r="S111" i="7" a="1"/>
  <c r="S111" i="7" s="1"/>
  <c r="Y110" i="7" a="1"/>
  <c r="Y110" i="7" s="1"/>
  <c r="X110" i="7" a="1"/>
  <c r="X110" i="7" s="1"/>
  <c r="W110" i="7" a="1"/>
  <c r="W110" i="7" s="1"/>
  <c r="V110" i="7" a="1"/>
  <c r="V110" i="7" s="1"/>
  <c r="U110" i="7" a="1"/>
  <c r="U110" i="7" s="1"/>
  <c r="T110" i="7" a="1"/>
  <c r="T110" i="7" s="1"/>
  <c r="S110" i="7" a="1"/>
  <c r="S110" i="7" s="1"/>
  <c r="Y109" i="7" a="1"/>
  <c r="Y109" i="7" s="1"/>
  <c r="X109" i="7" a="1"/>
  <c r="X109" i="7" s="1"/>
  <c r="W109" i="7" a="1"/>
  <c r="W109" i="7" s="1"/>
  <c r="V109" i="7" a="1"/>
  <c r="V109" i="7" s="1"/>
  <c r="U109" i="7" a="1"/>
  <c r="U109" i="7" s="1"/>
  <c r="T109" i="7" a="1"/>
  <c r="T109" i="7" s="1"/>
  <c r="S109" i="7" a="1"/>
  <c r="S109" i="7" s="1"/>
  <c r="Y108" i="7" a="1"/>
  <c r="Y108" i="7" s="1"/>
  <c r="X108" i="7" a="1"/>
  <c r="X108" i="7" s="1"/>
  <c r="W108" i="7" a="1"/>
  <c r="W108" i="7" s="1"/>
  <c r="V108" i="7" a="1"/>
  <c r="V108" i="7" s="1"/>
  <c r="U108" i="7" a="1"/>
  <c r="U108" i="7" s="1"/>
  <c r="T108" i="7" a="1"/>
  <c r="T108" i="7" s="1"/>
  <c r="S108" i="7" a="1"/>
  <c r="S108" i="7" s="1"/>
  <c r="Y107" i="7" a="1"/>
  <c r="Y107" i="7" s="1"/>
  <c r="X107" i="7" a="1"/>
  <c r="X107" i="7" s="1"/>
  <c r="W107" i="7" a="1"/>
  <c r="W107" i="7" s="1"/>
  <c r="V107" i="7" a="1"/>
  <c r="V107" i="7" s="1"/>
  <c r="U107" i="7" a="1"/>
  <c r="U107" i="7" s="1"/>
  <c r="T107" i="7" a="1"/>
  <c r="T107" i="7" s="1"/>
  <c r="S107" i="7" a="1"/>
  <c r="S107" i="7" s="1"/>
  <c r="Y106" i="7" a="1"/>
  <c r="Y106" i="7" s="1"/>
  <c r="X106" i="7" a="1"/>
  <c r="X106" i="7" s="1"/>
  <c r="W106" i="7" a="1"/>
  <c r="W106" i="7" s="1"/>
  <c r="V106" i="7" a="1"/>
  <c r="V106" i="7" s="1"/>
  <c r="U106" i="7" a="1"/>
  <c r="U106" i="7" s="1"/>
  <c r="T106" i="7" a="1"/>
  <c r="T106" i="7" s="1"/>
  <c r="S106" i="7" a="1"/>
  <c r="S106" i="7" s="1"/>
  <c r="Y105" i="7" a="1"/>
  <c r="Y105" i="7" s="1"/>
  <c r="X105" i="7" a="1"/>
  <c r="X105" i="7" s="1"/>
  <c r="W105" i="7" a="1"/>
  <c r="W105" i="7" s="1"/>
  <c r="V105" i="7" a="1"/>
  <c r="V105" i="7" s="1"/>
  <c r="U105" i="7" a="1"/>
  <c r="U105" i="7" s="1"/>
  <c r="T105" i="7" a="1"/>
  <c r="T105" i="7" s="1"/>
  <c r="S105" i="7" a="1"/>
  <c r="S105" i="7" s="1"/>
  <c r="Y104" i="7" a="1"/>
  <c r="Y104" i="7" s="1"/>
  <c r="X104" i="7" a="1"/>
  <c r="X104" i="7" s="1"/>
  <c r="W104" i="7" a="1"/>
  <c r="W104" i="7" s="1"/>
  <c r="V104" i="7" a="1"/>
  <c r="V104" i="7" s="1"/>
  <c r="U104" i="7" a="1"/>
  <c r="U104" i="7" s="1"/>
  <c r="T104" i="7" a="1"/>
  <c r="T104" i="7" s="1"/>
  <c r="S104" i="7" a="1"/>
  <c r="S104" i="7" s="1"/>
  <c r="Y103" i="7" a="1"/>
  <c r="Y103" i="7" s="1"/>
  <c r="X103" i="7" a="1"/>
  <c r="X103" i="7" s="1"/>
  <c r="W103" i="7" a="1"/>
  <c r="W103" i="7" s="1"/>
  <c r="V103" i="7" a="1"/>
  <c r="V103" i="7" s="1"/>
  <c r="U103" i="7" a="1"/>
  <c r="U103" i="7" s="1"/>
  <c r="T103" i="7" a="1"/>
  <c r="T103" i="7" s="1"/>
  <c r="S103" i="7" a="1"/>
  <c r="S103" i="7" s="1"/>
  <c r="Y102" i="7" a="1"/>
  <c r="Y102" i="7" s="1"/>
  <c r="X102" i="7" a="1"/>
  <c r="X102" i="7" s="1"/>
  <c r="W102" i="7" a="1"/>
  <c r="W102" i="7" s="1"/>
  <c r="V102" i="7" a="1"/>
  <c r="V102" i="7" s="1"/>
  <c r="U102" i="7" a="1"/>
  <c r="U102" i="7" s="1"/>
  <c r="T102" i="7" a="1"/>
  <c r="T102" i="7" s="1"/>
  <c r="S102" i="7" a="1"/>
  <c r="S102" i="7" s="1"/>
  <c r="Y101" i="7" a="1"/>
  <c r="Y101" i="7" s="1"/>
  <c r="X101" i="7" a="1"/>
  <c r="X101" i="7" s="1"/>
  <c r="W101" i="7" a="1"/>
  <c r="W101" i="7" s="1"/>
  <c r="V101" i="7" a="1"/>
  <c r="V101" i="7" s="1"/>
  <c r="U101" i="7" a="1"/>
  <c r="U101" i="7" s="1"/>
  <c r="T101" i="7" a="1"/>
  <c r="T101" i="7" s="1"/>
  <c r="S101" i="7" a="1"/>
  <c r="S101" i="7" s="1"/>
  <c r="Y100" i="7" a="1"/>
  <c r="Y100" i="7" s="1"/>
  <c r="X100" i="7" a="1"/>
  <c r="X100" i="7" s="1"/>
  <c r="W100" i="7" a="1"/>
  <c r="W100" i="7" s="1"/>
  <c r="V100" i="7" a="1"/>
  <c r="V100" i="7" s="1"/>
  <c r="U100" i="7" a="1"/>
  <c r="U100" i="7" s="1"/>
  <c r="T100" i="7" a="1"/>
  <c r="T100" i="7" s="1"/>
  <c r="S100" i="7" a="1"/>
  <c r="S100" i="7" s="1"/>
  <c r="Y99" i="7" a="1"/>
  <c r="Y99" i="7" s="1"/>
  <c r="X99" i="7" a="1"/>
  <c r="X99" i="7" s="1"/>
  <c r="W99" i="7" a="1"/>
  <c r="W99" i="7" s="1"/>
  <c r="V99" i="7" a="1"/>
  <c r="V99" i="7" s="1"/>
  <c r="U99" i="7" a="1"/>
  <c r="U99" i="7" s="1"/>
  <c r="T99" i="7" a="1"/>
  <c r="T99" i="7" s="1"/>
  <c r="S99" i="7" a="1"/>
  <c r="S99" i="7" s="1"/>
  <c r="Y98" i="7" a="1"/>
  <c r="Y98" i="7" s="1"/>
  <c r="X98" i="7" a="1"/>
  <c r="X98" i="7" s="1"/>
  <c r="W98" i="7" a="1"/>
  <c r="W98" i="7" s="1"/>
  <c r="V98" i="7" a="1"/>
  <c r="V98" i="7" s="1"/>
  <c r="U98" i="7" a="1"/>
  <c r="U98" i="7" s="1"/>
  <c r="T98" i="7" a="1"/>
  <c r="T98" i="7" s="1"/>
  <c r="S98" i="7" a="1"/>
  <c r="S98" i="7" s="1"/>
  <c r="Y97" i="7" a="1"/>
  <c r="Y97" i="7" s="1"/>
  <c r="X97" i="7" a="1"/>
  <c r="X97" i="7" s="1"/>
  <c r="W97" i="7" a="1"/>
  <c r="W97" i="7" s="1"/>
  <c r="V97" i="7" a="1"/>
  <c r="V97" i="7" s="1"/>
  <c r="U97" i="7" a="1"/>
  <c r="U97" i="7" s="1"/>
  <c r="T97" i="7" a="1"/>
  <c r="T97" i="7" s="1"/>
  <c r="S97" i="7" a="1"/>
  <c r="S97" i="7" s="1"/>
  <c r="Y96" i="7" a="1"/>
  <c r="Y96" i="7" s="1"/>
  <c r="X96" i="7" a="1"/>
  <c r="X96" i="7" s="1"/>
  <c r="W96" i="7" a="1"/>
  <c r="W96" i="7" s="1"/>
  <c r="V96" i="7" a="1"/>
  <c r="V96" i="7" s="1"/>
  <c r="U96" i="7" a="1"/>
  <c r="U96" i="7" s="1"/>
  <c r="T96" i="7" a="1"/>
  <c r="T96" i="7" s="1"/>
  <c r="S96" i="7" a="1"/>
  <c r="S96" i="7" s="1"/>
  <c r="Y95" i="7" a="1"/>
  <c r="Y95" i="7" s="1"/>
  <c r="X95" i="7" a="1"/>
  <c r="X95" i="7" s="1"/>
  <c r="W95" i="7" a="1"/>
  <c r="W95" i="7" s="1"/>
  <c r="V95" i="7" a="1"/>
  <c r="V95" i="7" s="1"/>
  <c r="U95" i="7" a="1"/>
  <c r="U95" i="7" s="1"/>
  <c r="T95" i="7" a="1"/>
  <c r="T95" i="7" s="1"/>
  <c r="S95" i="7" a="1"/>
  <c r="S95" i="7" s="1"/>
  <c r="Y94" i="7" a="1"/>
  <c r="Y94" i="7" s="1"/>
  <c r="X94" i="7" a="1"/>
  <c r="X94" i="7" s="1"/>
  <c r="W94" i="7" a="1"/>
  <c r="W94" i="7" s="1"/>
  <c r="V94" i="7" a="1"/>
  <c r="V94" i="7" s="1"/>
  <c r="U94" i="7" a="1"/>
  <c r="U94" i="7" s="1"/>
  <c r="T94" i="7" a="1"/>
  <c r="T94" i="7" s="1"/>
  <c r="S94" i="7" a="1"/>
  <c r="S94" i="7" s="1"/>
  <c r="Y93" i="7" a="1"/>
  <c r="Y93" i="7" s="1"/>
  <c r="X93" i="7" a="1"/>
  <c r="X93" i="7" s="1"/>
  <c r="W93" i="7" a="1"/>
  <c r="W93" i="7" s="1"/>
  <c r="V93" i="7" a="1"/>
  <c r="V93" i="7" s="1"/>
  <c r="U93" i="7" a="1"/>
  <c r="U93" i="7" s="1"/>
  <c r="T93" i="7" a="1"/>
  <c r="T93" i="7" s="1"/>
  <c r="S93" i="7" a="1"/>
  <c r="S93" i="7" s="1"/>
  <c r="Y92" i="7" a="1"/>
  <c r="Y92" i="7" s="1"/>
  <c r="X92" i="7" a="1"/>
  <c r="X92" i="7" s="1"/>
  <c r="W92" i="7" a="1"/>
  <c r="W92" i="7" s="1"/>
  <c r="V92" i="7" a="1"/>
  <c r="V92" i="7" s="1"/>
  <c r="U92" i="7" a="1"/>
  <c r="U92" i="7" s="1"/>
  <c r="T92" i="7" a="1"/>
  <c r="T92" i="7" s="1"/>
  <c r="S92" i="7" a="1"/>
  <c r="S92" i="7" s="1"/>
  <c r="Y91" i="7" a="1"/>
  <c r="Y91" i="7" s="1"/>
  <c r="X91" i="7" a="1"/>
  <c r="X91" i="7" s="1"/>
  <c r="W91" i="7" a="1"/>
  <c r="W91" i="7" s="1"/>
  <c r="V91" i="7" a="1"/>
  <c r="V91" i="7" s="1"/>
  <c r="U91" i="7" a="1"/>
  <c r="U91" i="7" s="1"/>
  <c r="T91" i="7" a="1"/>
  <c r="T91" i="7" s="1"/>
  <c r="S91" i="7" a="1"/>
  <c r="S91" i="7" s="1"/>
  <c r="Y90" i="7" a="1"/>
  <c r="Y90" i="7" s="1"/>
  <c r="X90" i="7" a="1"/>
  <c r="X90" i="7" s="1"/>
  <c r="W90" i="7" a="1"/>
  <c r="W90" i="7" s="1"/>
  <c r="V90" i="7" a="1"/>
  <c r="V90" i="7" s="1"/>
  <c r="U90" i="7" a="1"/>
  <c r="U90" i="7" s="1"/>
  <c r="T90" i="7" a="1"/>
  <c r="T90" i="7" s="1"/>
  <c r="S90" i="7" a="1"/>
  <c r="S90" i="7" s="1"/>
  <c r="Y89" i="7" a="1"/>
  <c r="Y89" i="7" s="1"/>
  <c r="X89" i="7" a="1"/>
  <c r="X89" i="7" s="1"/>
  <c r="W89" i="7" a="1"/>
  <c r="W89" i="7" s="1"/>
  <c r="V89" i="7" a="1"/>
  <c r="V89" i="7" s="1"/>
  <c r="U89" i="7" a="1"/>
  <c r="U89" i="7" s="1"/>
  <c r="T89" i="7" a="1"/>
  <c r="T89" i="7" s="1"/>
  <c r="S89" i="7" a="1"/>
  <c r="S89" i="7" s="1"/>
  <c r="Y88" i="7" a="1"/>
  <c r="Y88" i="7" s="1"/>
  <c r="X88" i="7" a="1"/>
  <c r="X88" i="7" s="1"/>
  <c r="W88" i="7" a="1"/>
  <c r="W88" i="7" s="1"/>
  <c r="V88" i="7" a="1"/>
  <c r="V88" i="7" s="1"/>
  <c r="U88" i="7" a="1"/>
  <c r="U88" i="7" s="1"/>
  <c r="T88" i="7" a="1"/>
  <c r="T88" i="7" s="1"/>
  <c r="S88" i="7" a="1"/>
  <c r="S88" i="7" s="1"/>
  <c r="Y87" i="7" a="1"/>
  <c r="Y87" i="7" s="1"/>
  <c r="X87" i="7" a="1"/>
  <c r="X87" i="7" s="1"/>
  <c r="W87" i="7" a="1"/>
  <c r="W87" i="7" s="1"/>
  <c r="V87" i="7" a="1"/>
  <c r="V87" i="7" s="1"/>
  <c r="U87" i="7" a="1"/>
  <c r="U87" i="7" s="1"/>
  <c r="T87" i="7" a="1"/>
  <c r="T87" i="7" s="1"/>
  <c r="S87" i="7" a="1"/>
  <c r="S87" i="7" s="1"/>
  <c r="Y86" i="7" a="1"/>
  <c r="Y86" i="7" s="1"/>
  <c r="X86" i="7" a="1"/>
  <c r="X86" i="7" s="1"/>
  <c r="W86" i="7" a="1"/>
  <c r="W86" i="7" s="1"/>
  <c r="V86" i="7" a="1"/>
  <c r="V86" i="7" s="1"/>
  <c r="U86" i="7" a="1"/>
  <c r="U86" i="7" s="1"/>
  <c r="T86" i="7" a="1"/>
  <c r="T86" i="7" s="1"/>
  <c r="S86" i="7" a="1"/>
  <c r="S86" i="7" s="1"/>
  <c r="Y85" i="7" a="1"/>
  <c r="Y85" i="7" s="1"/>
  <c r="X85" i="7" a="1"/>
  <c r="X85" i="7" s="1"/>
  <c r="W85" i="7" a="1"/>
  <c r="W85" i="7" s="1"/>
  <c r="V85" i="7" a="1"/>
  <c r="V85" i="7" s="1"/>
  <c r="U85" i="7" a="1"/>
  <c r="U85" i="7" s="1"/>
  <c r="T85" i="7" a="1"/>
  <c r="T85" i="7" s="1"/>
  <c r="S85" i="7" a="1"/>
  <c r="S85" i="7" s="1"/>
  <c r="Y84" i="7" a="1"/>
  <c r="Y84" i="7" s="1"/>
  <c r="X84" i="7" a="1"/>
  <c r="X84" i="7" s="1"/>
  <c r="W84" i="7" a="1"/>
  <c r="W84" i="7" s="1"/>
  <c r="V84" i="7" a="1"/>
  <c r="V84" i="7" s="1"/>
  <c r="U84" i="7" a="1"/>
  <c r="U84" i="7" s="1"/>
  <c r="T84" i="7" a="1"/>
  <c r="T84" i="7" s="1"/>
  <c r="S84" i="7" a="1"/>
  <c r="S84" i="7" s="1"/>
  <c r="Y83" i="7" a="1"/>
  <c r="Y83" i="7" s="1"/>
  <c r="X83" i="7" a="1"/>
  <c r="X83" i="7" s="1"/>
  <c r="W83" i="7" a="1"/>
  <c r="W83" i="7" s="1"/>
  <c r="V83" i="7" a="1"/>
  <c r="V83" i="7" s="1"/>
  <c r="U83" i="7" a="1"/>
  <c r="U83" i="7" s="1"/>
  <c r="T83" i="7" a="1"/>
  <c r="T83" i="7" s="1"/>
  <c r="S83" i="7" a="1"/>
  <c r="S83" i="7" s="1"/>
  <c r="Y82" i="7" a="1"/>
  <c r="Y82" i="7" s="1"/>
  <c r="X82" i="7" a="1"/>
  <c r="X82" i="7" s="1"/>
  <c r="W82" i="7" a="1"/>
  <c r="W82" i="7" s="1"/>
  <c r="V82" i="7" a="1"/>
  <c r="V82" i="7" s="1"/>
  <c r="U82" i="7" a="1"/>
  <c r="U82" i="7" s="1"/>
  <c r="T82" i="7" a="1"/>
  <c r="T82" i="7" s="1"/>
  <c r="S82" i="7" a="1"/>
  <c r="S82" i="7" s="1"/>
  <c r="Y81" i="7" a="1"/>
  <c r="Y81" i="7" s="1"/>
  <c r="X81" i="7" a="1"/>
  <c r="X81" i="7" s="1"/>
  <c r="W81" i="7" a="1"/>
  <c r="W81" i="7" s="1"/>
  <c r="V81" i="7" a="1"/>
  <c r="V81" i="7" s="1"/>
  <c r="U81" i="7" a="1"/>
  <c r="U81" i="7" s="1"/>
  <c r="T81" i="7" a="1"/>
  <c r="T81" i="7" s="1"/>
  <c r="S81" i="7" a="1"/>
  <c r="S81" i="7" s="1"/>
  <c r="Y80" i="7" a="1"/>
  <c r="Y80" i="7" s="1"/>
  <c r="X80" i="7" a="1"/>
  <c r="X80" i="7" s="1"/>
  <c r="W80" i="7" a="1"/>
  <c r="W80" i="7" s="1"/>
  <c r="V80" i="7" a="1"/>
  <c r="V80" i="7" s="1"/>
  <c r="U80" i="7" a="1"/>
  <c r="U80" i="7" s="1"/>
  <c r="T80" i="7" a="1"/>
  <c r="T80" i="7" s="1"/>
  <c r="S80" i="7" a="1"/>
  <c r="S80" i="7" s="1"/>
  <c r="Y79" i="7" a="1"/>
  <c r="Y79" i="7" s="1"/>
  <c r="X79" i="7" a="1"/>
  <c r="X79" i="7" s="1"/>
  <c r="W79" i="7" a="1"/>
  <c r="W79" i="7" s="1"/>
  <c r="V79" i="7" a="1"/>
  <c r="V79" i="7" s="1"/>
  <c r="U79" i="7" a="1"/>
  <c r="U79" i="7" s="1"/>
  <c r="T79" i="7" a="1"/>
  <c r="T79" i="7" s="1"/>
  <c r="S79" i="7" a="1"/>
  <c r="S79" i="7" s="1"/>
  <c r="Y78" i="7" a="1"/>
  <c r="Y78" i="7" s="1"/>
  <c r="X78" i="7" a="1"/>
  <c r="X78" i="7" s="1"/>
  <c r="W78" i="7" a="1"/>
  <c r="W78" i="7" s="1"/>
  <c r="V78" i="7" a="1"/>
  <c r="V78" i="7" s="1"/>
  <c r="U78" i="7" a="1"/>
  <c r="U78" i="7" s="1"/>
  <c r="T78" i="7" a="1"/>
  <c r="T78" i="7" s="1"/>
  <c r="S78" i="7" a="1"/>
  <c r="S78" i="7" s="1"/>
  <c r="Y77" i="7" a="1"/>
  <c r="Y77" i="7" s="1"/>
  <c r="X77" i="7" a="1"/>
  <c r="X77" i="7" s="1"/>
  <c r="W77" i="7" a="1"/>
  <c r="W77" i="7" s="1"/>
  <c r="V77" i="7" a="1"/>
  <c r="V77" i="7" s="1"/>
  <c r="U77" i="7" a="1"/>
  <c r="U77" i="7" s="1"/>
  <c r="T77" i="7" a="1"/>
  <c r="T77" i="7" s="1"/>
  <c r="S77" i="7" a="1"/>
  <c r="S77" i="7" s="1"/>
  <c r="Y76" i="7" a="1"/>
  <c r="Y76" i="7" s="1"/>
  <c r="X76" i="7" a="1"/>
  <c r="X76" i="7" s="1"/>
  <c r="W76" i="7" a="1"/>
  <c r="W76" i="7" s="1"/>
  <c r="V76" i="7" a="1"/>
  <c r="V76" i="7" s="1"/>
  <c r="U76" i="7" a="1"/>
  <c r="U76" i="7" s="1"/>
  <c r="T76" i="7" a="1"/>
  <c r="T76" i="7" s="1"/>
  <c r="S76" i="7" a="1"/>
  <c r="S76" i="7" s="1"/>
  <c r="Y75" i="7" a="1"/>
  <c r="Y75" i="7" s="1"/>
  <c r="X75" i="7" a="1"/>
  <c r="X75" i="7" s="1"/>
  <c r="W75" i="7" a="1"/>
  <c r="W75" i="7" s="1"/>
  <c r="V75" i="7" a="1"/>
  <c r="V75" i="7" s="1"/>
  <c r="U75" i="7" a="1"/>
  <c r="U75" i="7" s="1"/>
  <c r="T75" i="7" a="1"/>
  <c r="T75" i="7" s="1"/>
  <c r="S75" i="7" a="1"/>
  <c r="S75" i="7" s="1"/>
  <c r="Y74" i="7" a="1"/>
  <c r="Y74" i="7" s="1"/>
  <c r="X74" i="7" a="1"/>
  <c r="X74" i="7" s="1"/>
  <c r="W74" i="7" a="1"/>
  <c r="W74" i="7" s="1"/>
  <c r="V74" i="7" a="1"/>
  <c r="V74" i="7" s="1"/>
  <c r="U74" i="7" a="1"/>
  <c r="U74" i="7" s="1"/>
  <c r="T74" i="7" a="1"/>
  <c r="T74" i="7" s="1"/>
  <c r="S74" i="7" a="1"/>
  <c r="S74" i="7" s="1"/>
  <c r="Y73" i="7" a="1"/>
  <c r="Y73" i="7" s="1"/>
  <c r="X73" i="7" a="1"/>
  <c r="X73" i="7" s="1"/>
  <c r="W73" i="7" a="1"/>
  <c r="W73" i="7" s="1"/>
  <c r="V73" i="7" a="1"/>
  <c r="V73" i="7" s="1"/>
  <c r="U73" i="7" a="1"/>
  <c r="U73" i="7" s="1"/>
  <c r="T73" i="7" a="1"/>
  <c r="T73" i="7" s="1"/>
  <c r="S73" i="7" a="1"/>
  <c r="S73" i="7" s="1"/>
  <c r="Y72" i="7" a="1"/>
  <c r="Y72" i="7" s="1"/>
  <c r="X72" i="7" a="1"/>
  <c r="X72" i="7" s="1"/>
  <c r="W72" i="7" a="1"/>
  <c r="W72" i="7" s="1"/>
  <c r="V72" i="7" a="1"/>
  <c r="V72" i="7" s="1"/>
  <c r="U72" i="7" a="1"/>
  <c r="U72" i="7" s="1"/>
  <c r="T72" i="7" a="1"/>
  <c r="T72" i="7" s="1"/>
  <c r="S72" i="7" a="1"/>
  <c r="S72" i="7" s="1"/>
  <c r="Y71" i="7" a="1"/>
  <c r="Y71" i="7" s="1"/>
  <c r="X71" i="7" a="1"/>
  <c r="X71" i="7" s="1"/>
  <c r="W71" i="7" a="1"/>
  <c r="W71" i="7" s="1"/>
  <c r="V71" i="7" a="1"/>
  <c r="V71" i="7" s="1"/>
  <c r="U71" i="7" a="1"/>
  <c r="U71" i="7" s="1"/>
  <c r="T71" i="7" a="1"/>
  <c r="T71" i="7" s="1"/>
  <c r="S71" i="7" a="1"/>
  <c r="S71" i="7" s="1"/>
  <c r="Y70" i="7" a="1"/>
  <c r="Y70" i="7" s="1"/>
  <c r="X70" i="7" a="1"/>
  <c r="X70" i="7" s="1"/>
  <c r="W70" i="7" a="1"/>
  <c r="W70" i="7" s="1"/>
  <c r="V70" i="7" a="1"/>
  <c r="V70" i="7" s="1"/>
  <c r="U70" i="7" a="1"/>
  <c r="U70" i="7" s="1"/>
  <c r="T70" i="7" a="1"/>
  <c r="T70" i="7" s="1"/>
  <c r="S70" i="7" a="1"/>
  <c r="S70" i="7" s="1"/>
  <c r="Y69" i="7" a="1"/>
  <c r="Y69" i="7" s="1"/>
  <c r="X69" i="7" a="1"/>
  <c r="X69" i="7" s="1"/>
  <c r="W69" i="7" a="1"/>
  <c r="W69" i="7" s="1"/>
  <c r="V69" i="7" a="1"/>
  <c r="V69" i="7" s="1"/>
  <c r="U69" i="7" a="1"/>
  <c r="U69" i="7" s="1"/>
  <c r="T69" i="7" a="1"/>
  <c r="T69" i="7" s="1"/>
  <c r="S69" i="7" a="1"/>
  <c r="S69" i="7" s="1"/>
  <c r="Y68" i="7" a="1"/>
  <c r="Y68" i="7" s="1"/>
  <c r="X68" i="7" a="1"/>
  <c r="X68" i="7" s="1"/>
  <c r="W68" i="7" a="1"/>
  <c r="W68" i="7" s="1"/>
  <c r="V68" i="7" a="1"/>
  <c r="V68" i="7" s="1"/>
  <c r="U68" i="7" a="1"/>
  <c r="U68" i="7" s="1"/>
  <c r="T68" i="7" a="1"/>
  <c r="T68" i="7" s="1"/>
  <c r="S68" i="7" a="1"/>
  <c r="S68" i="7" s="1"/>
  <c r="Y67" i="7" a="1"/>
  <c r="Y67" i="7" s="1"/>
  <c r="X67" i="7" a="1"/>
  <c r="X67" i="7" s="1"/>
  <c r="W67" i="7" a="1"/>
  <c r="W67" i="7" s="1"/>
  <c r="V67" i="7" a="1"/>
  <c r="V67" i="7" s="1"/>
  <c r="U67" i="7" a="1"/>
  <c r="U67" i="7" s="1"/>
  <c r="T67" i="7" a="1"/>
  <c r="T67" i="7" s="1"/>
  <c r="S67" i="7" a="1"/>
  <c r="S67" i="7" s="1"/>
  <c r="Y66" i="7" a="1"/>
  <c r="Y66" i="7" s="1"/>
  <c r="X66" i="7" a="1"/>
  <c r="X66" i="7" s="1"/>
  <c r="W66" i="7" a="1"/>
  <c r="W66" i="7" s="1"/>
  <c r="V66" i="7" a="1"/>
  <c r="V66" i="7" s="1"/>
  <c r="U66" i="7" a="1"/>
  <c r="U66" i="7" s="1"/>
  <c r="T66" i="7" a="1"/>
  <c r="T66" i="7" s="1"/>
  <c r="S66" i="7" a="1"/>
  <c r="S66" i="7" s="1"/>
  <c r="Y65" i="7" a="1"/>
  <c r="Y65" i="7" s="1"/>
  <c r="X65" i="7" a="1"/>
  <c r="X65" i="7" s="1"/>
  <c r="W65" i="7" a="1"/>
  <c r="W65" i="7" s="1"/>
  <c r="V65" i="7" a="1"/>
  <c r="V65" i="7" s="1"/>
  <c r="U65" i="7" a="1"/>
  <c r="U65" i="7" s="1"/>
  <c r="T65" i="7" a="1"/>
  <c r="T65" i="7" s="1"/>
  <c r="S65" i="7" a="1"/>
  <c r="S65" i="7" s="1"/>
  <c r="Y64" i="7" a="1"/>
  <c r="Y64" i="7" s="1"/>
  <c r="X64" i="7" a="1"/>
  <c r="X64" i="7" s="1"/>
  <c r="W64" i="7" a="1"/>
  <c r="W64" i="7" s="1"/>
  <c r="V64" i="7" a="1"/>
  <c r="V64" i="7" s="1"/>
  <c r="U64" i="7" a="1"/>
  <c r="U64" i="7" s="1"/>
  <c r="T64" i="7" a="1"/>
  <c r="T64" i="7" s="1"/>
  <c r="S64" i="7" a="1"/>
  <c r="S64" i="7" s="1"/>
  <c r="Y63" i="7" a="1"/>
  <c r="Y63" i="7" s="1"/>
  <c r="X63" i="7" a="1"/>
  <c r="X63" i="7" s="1"/>
  <c r="W63" i="7" a="1"/>
  <c r="W63" i="7" s="1"/>
  <c r="V63" i="7" a="1"/>
  <c r="V63" i="7" s="1"/>
  <c r="T63" i="7" a="1"/>
  <c r="T63" i="7" s="1"/>
  <c r="S63" i="7" a="1"/>
  <c r="S63" i="7" s="1"/>
  <c r="Y62" i="7" a="1"/>
  <c r="Y62" i="7" s="1"/>
  <c r="X62" i="7" a="1"/>
  <c r="X62" i="7" s="1"/>
  <c r="W62" i="7" a="1"/>
  <c r="W62" i="7" s="1"/>
  <c r="V62" i="7" a="1"/>
  <c r="V62" i="7" s="1"/>
  <c r="U62" i="7" a="1"/>
  <c r="U62" i="7" s="1"/>
  <c r="T62" i="7" a="1"/>
  <c r="T62" i="7" s="1"/>
  <c r="S62" i="7" a="1"/>
  <c r="S62" i="7" s="1"/>
  <c r="Y61" i="7" a="1"/>
  <c r="Y61" i="7" s="1"/>
  <c r="X61" i="7" a="1"/>
  <c r="X61" i="7" s="1"/>
  <c r="W61" i="7" a="1"/>
  <c r="W61" i="7" s="1"/>
  <c r="V61" i="7" a="1"/>
  <c r="V61" i="7" s="1"/>
  <c r="U61" i="7" a="1"/>
  <c r="U61" i="7" s="1"/>
  <c r="T61" i="7" a="1"/>
  <c r="T61" i="7" s="1"/>
  <c r="S61" i="7" a="1"/>
  <c r="S61" i="7" s="1"/>
  <c r="Y60" i="7" a="1"/>
  <c r="Y60" i="7" s="1"/>
  <c r="X60" i="7" a="1"/>
  <c r="X60" i="7" s="1"/>
  <c r="W60" i="7" a="1"/>
  <c r="W60" i="7" s="1"/>
  <c r="V60" i="7" a="1"/>
  <c r="V60" i="7" s="1"/>
  <c r="U60" i="7" a="1"/>
  <c r="U60" i="7" s="1"/>
  <c r="T60" i="7" a="1"/>
  <c r="T60" i="7" s="1"/>
  <c r="S60" i="7" a="1"/>
  <c r="S60" i="7" s="1"/>
  <c r="Y59" i="7" a="1"/>
  <c r="Y59" i="7" s="1"/>
  <c r="X59" i="7" a="1"/>
  <c r="X59" i="7" s="1"/>
  <c r="W59" i="7" a="1"/>
  <c r="W59" i="7" s="1"/>
  <c r="V59" i="7" a="1"/>
  <c r="V59" i="7" s="1"/>
  <c r="U59" i="7" a="1"/>
  <c r="U59" i="7" s="1"/>
  <c r="T59" i="7" a="1"/>
  <c r="T59" i="7" s="1"/>
  <c r="S59" i="7" a="1"/>
  <c r="S59" i="7" s="1"/>
  <c r="Y58" i="7" a="1"/>
  <c r="Y58" i="7" s="1"/>
  <c r="X58" i="7" a="1"/>
  <c r="X58" i="7" s="1"/>
  <c r="W58" i="7" a="1"/>
  <c r="W58" i="7" s="1"/>
  <c r="V58" i="7" a="1"/>
  <c r="V58" i="7" s="1"/>
  <c r="U58" i="7" a="1"/>
  <c r="U58" i="7" s="1"/>
  <c r="T58" i="7" a="1"/>
  <c r="T58" i="7" s="1"/>
  <c r="S58" i="7" a="1"/>
  <c r="S58" i="7" s="1"/>
  <c r="Y57" i="7" a="1"/>
  <c r="Y57" i="7" s="1"/>
  <c r="X57" i="7" a="1"/>
  <c r="X57" i="7" s="1"/>
  <c r="W57" i="7" a="1"/>
  <c r="W57" i="7" s="1"/>
  <c r="V57" i="7" a="1"/>
  <c r="V57" i="7" s="1"/>
  <c r="U57" i="7" a="1"/>
  <c r="U57" i="7" s="1"/>
  <c r="T57" i="7" a="1"/>
  <c r="T57" i="7" s="1"/>
  <c r="S57" i="7" a="1"/>
  <c r="S57" i="7" s="1"/>
  <c r="Y56" i="7" a="1"/>
  <c r="Y56" i="7" s="1"/>
  <c r="X56" i="7" a="1"/>
  <c r="X56" i="7" s="1"/>
  <c r="W56" i="7" a="1"/>
  <c r="W56" i="7" s="1"/>
  <c r="V56" i="7" a="1"/>
  <c r="V56" i="7" s="1"/>
  <c r="U56" i="7" a="1"/>
  <c r="U56" i="7" s="1"/>
  <c r="T56" i="7" a="1"/>
  <c r="T56" i="7" s="1"/>
  <c r="S56" i="7" a="1"/>
  <c r="S56" i="7" s="1"/>
  <c r="Y55" i="7" a="1"/>
  <c r="Y55" i="7" s="1"/>
  <c r="X55" i="7" a="1"/>
  <c r="X55" i="7" s="1"/>
  <c r="W55" i="7" a="1"/>
  <c r="W55" i="7" s="1"/>
  <c r="V55" i="7" a="1"/>
  <c r="V55" i="7" s="1"/>
  <c r="U55" i="7" a="1"/>
  <c r="U55" i="7" s="1"/>
  <c r="T55" i="7" a="1"/>
  <c r="T55" i="7" s="1"/>
  <c r="S55" i="7" a="1"/>
  <c r="S55" i="7" s="1"/>
  <c r="Y54" i="7" a="1"/>
  <c r="Y54" i="7" s="1"/>
  <c r="X54" i="7" a="1"/>
  <c r="X54" i="7" s="1"/>
  <c r="W54" i="7" a="1"/>
  <c r="W54" i="7" s="1"/>
  <c r="V54" i="7" a="1"/>
  <c r="V54" i="7" s="1"/>
  <c r="U54" i="7" a="1"/>
  <c r="U54" i="7" s="1"/>
  <c r="T54" i="7" a="1"/>
  <c r="T54" i="7" s="1"/>
  <c r="S54" i="7" a="1"/>
  <c r="S54" i="7" s="1"/>
  <c r="Y53" i="7" a="1"/>
  <c r="Y53" i="7" s="1"/>
  <c r="X53" i="7" a="1"/>
  <c r="X53" i="7" s="1"/>
  <c r="W53" i="7" a="1"/>
  <c r="W53" i="7" s="1"/>
  <c r="V53" i="7" a="1"/>
  <c r="V53" i="7" s="1"/>
  <c r="U53" i="7" a="1"/>
  <c r="U53" i="7" s="1"/>
  <c r="T53" i="7" a="1"/>
  <c r="T53" i="7" s="1"/>
  <c r="S53" i="7" a="1"/>
  <c r="S53" i="7" s="1"/>
  <c r="Y52" i="7" a="1"/>
  <c r="Y52" i="7" s="1"/>
  <c r="X52" i="7" a="1"/>
  <c r="X52" i="7" s="1"/>
  <c r="W52" i="7" a="1"/>
  <c r="W52" i="7" s="1"/>
  <c r="V52" i="7" a="1"/>
  <c r="V52" i="7" s="1"/>
  <c r="U52" i="7" a="1"/>
  <c r="U52" i="7" s="1"/>
  <c r="T52" i="7" a="1"/>
  <c r="T52" i="7" s="1"/>
  <c r="S52" i="7" a="1"/>
  <c r="S52" i="7" s="1"/>
  <c r="Y51" i="7" a="1"/>
  <c r="Y51" i="7" s="1"/>
  <c r="X51" i="7" a="1"/>
  <c r="X51" i="7" s="1"/>
  <c r="W51" i="7" a="1"/>
  <c r="W51" i="7" s="1"/>
  <c r="V51" i="7" a="1"/>
  <c r="V51" i="7" s="1"/>
  <c r="U51" i="7" a="1"/>
  <c r="U51" i="7" s="1"/>
  <c r="T51" i="7" a="1"/>
  <c r="T51" i="7" s="1"/>
  <c r="S51" i="7" a="1"/>
  <c r="S51" i="7" s="1"/>
  <c r="Y50" i="7" a="1"/>
  <c r="Y50" i="7" s="1"/>
  <c r="X50" i="7" a="1"/>
  <c r="X50" i="7" s="1"/>
  <c r="W50" i="7" a="1"/>
  <c r="W50" i="7" s="1"/>
  <c r="V50" i="7" a="1"/>
  <c r="V50" i="7" s="1"/>
  <c r="U50" i="7" a="1"/>
  <c r="U50" i="7" s="1"/>
  <c r="T50" i="7" a="1"/>
  <c r="T50" i="7" s="1"/>
  <c r="S50" i="7" a="1"/>
  <c r="S50" i="7" s="1"/>
  <c r="Y49" i="7" a="1"/>
  <c r="Y49" i="7" s="1"/>
  <c r="X49" i="7" a="1"/>
  <c r="X49" i="7" s="1"/>
  <c r="W49" i="7" a="1"/>
  <c r="W49" i="7" s="1"/>
  <c r="V49" i="7" a="1"/>
  <c r="V49" i="7" s="1"/>
  <c r="U49" i="7" a="1"/>
  <c r="U49" i="7" s="1"/>
  <c r="T49" i="7" a="1"/>
  <c r="T49" i="7" s="1"/>
  <c r="S49" i="7" a="1"/>
  <c r="S49" i="7" s="1"/>
  <c r="Y48" i="7" a="1"/>
  <c r="Y48" i="7" s="1"/>
  <c r="X48" i="7" a="1"/>
  <c r="X48" i="7" s="1"/>
  <c r="W48" i="7" a="1"/>
  <c r="W48" i="7" s="1"/>
  <c r="V48" i="7" a="1"/>
  <c r="V48" i="7" s="1"/>
  <c r="U48" i="7" a="1"/>
  <c r="U48" i="7" s="1"/>
  <c r="T48" i="7" a="1"/>
  <c r="T48" i="7" s="1"/>
  <c r="S48" i="7" a="1"/>
  <c r="S48" i="7" s="1"/>
  <c r="Y47" i="7" a="1"/>
  <c r="Y47" i="7" s="1"/>
  <c r="X47" i="7" a="1"/>
  <c r="X47" i="7" s="1"/>
  <c r="W47" i="7" a="1"/>
  <c r="W47" i="7" s="1"/>
  <c r="V47" i="7" a="1"/>
  <c r="V47" i="7" s="1"/>
  <c r="U47" i="7" a="1"/>
  <c r="U47" i="7" s="1"/>
  <c r="T47" i="7" a="1"/>
  <c r="T47" i="7" s="1"/>
  <c r="S47" i="7" a="1"/>
  <c r="S47" i="7" s="1"/>
  <c r="Y46" i="7" a="1"/>
  <c r="Y46" i="7" s="1"/>
  <c r="X46" i="7" a="1"/>
  <c r="X46" i="7" s="1"/>
  <c r="W46" i="7" a="1"/>
  <c r="W46" i="7" s="1"/>
  <c r="V46" i="7" a="1"/>
  <c r="V46" i="7" s="1"/>
  <c r="U46" i="7" a="1"/>
  <c r="U46" i="7" s="1"/>
  <c r="T46" i="7" a="1"/>
  <c r="T46" i="7" s="1"/>
  <c r="S46" i="7" a="1"/>
  <c r="S46" i="7" s="1"/>
  <c r="Y45" i="7" a="1"/>
  <c r="Y45" i="7" s="1"/>
  <c r="X45" i="7" a="1"/>
  <c r="X45" i="7" s="1"/>
  <c r="W45" i="7" a="1"/>
  <c r="W45" i="7" s="1"/>
  <c r="V45" i="7" a="1"/>
  <c r="V45" i="7" s="1"/>
  <c r="U45" i="7" a="1"/>
  <c r="U45" i="7" s="1"/>
  <c r="T45" i="7" a="1"/>
  <c r="T45" i="7" s="1"/>
  <c r="S45" i="7" a="1"/>
  <c r="S45" i="7" s="1"/>
  <c r="Y44" i="7" a="1"/>
  <c r="Y44" i="7" s="1"/>
  <c r="X44" i="7" a="1"/>
  <c r="X44" i="7" s="1"/>
  <c r="W44" i="7" a="1"/>
  <c r="W44" i="7" s="1"/>
  <c r="V44" i="7" a="1"/>
  <c r="V44" i="7" s="1"/>
  <c r="U44" i="7" a="1"/>
  <c r="U44" i="7" s="1"/>
  <c r="T44" i="7" a="1"/>
  <c r="T44" i="7" s="1"/>
  <c r="S44" i="7" a="1"/>
  <c r="S44" i="7" s="1"/>
  <c r="Y43" i="7" a="1"/>
  <c r="Y43" i="7" s="1"/>
  <c r="X43" i="7" a="1"/>
  <c r="X43" i="7" s="1"/>
  <c r="W43" i="7" a="1"/>
  <c r="W43" i="7" s="1"/>
  <c r="V43" i="7" a="1"/>
  <c r="V43" i="7" s="1"/>
  <c r="U43" i="7" a="1"/>
  <c r="U43" i="7" s="1"/>
  <c r="T43" i="7" a="1"/>
  <c r="T43" i="7" s="1"/>
  <c r="S43" i="7" a="1"/>
  <c r="S43" i="7" s="1"/>
  <c r="Y42" i="7" a="1"/>
  <c r="Y42" i="7" s="1"/>
  <c r="X42" i="7" a="1"/>
  <c r="X42" i="7" s="1"/>
  <c r="W42" i="7" a="1"/>
  <c r="W42" i="7" s="1"/>
  <c r="V42" i="7" a="1"/>
  <c r="V42" i="7" s="1"/>
  <c r="U42" i="7" a="1"/>
  <c r="U42" i="7" s="1"/>
  <c r="T42" i="7" a="1"/>
  <c r="T42" i="7" s="1"/>
  <c r="S42" i="7" a="1"/>
  <c r="S42" i="7" s="1"/>
  <c r="Y41" i="7" a="1"/>
  <c r="Y41" i="7" s="1"/>
  <c r="X41" i="7" a="1"/>
  <c r="X41" i="7" s="1"/>
  <c r="W41" i="7" a="1"/>
  <c r="W41" i="7" s="1"/>
  <c r="V41" i="7" a="1"/>
  <c r="V41" i="7" s="1"/>
  <c r="U41" i="7" a="1"/>
  <c r="U41" i="7" s="1"/>
  <c r="T41" i="7" a="1"/>
  <c r="T41" i="7" s="1"/>
  <c r="S41" i="7" a="1"/>
  <c r="S41" i="7" s="1"/>
  <c r="Y40" i="7" a="1"/>
  <c r="Y40" i="7" s="1"/>
  <c r="X40" i="7" a="1"/>
  <c r="X40" i="7" s="1"/>
  <c r="W40" i="7" a="1"/>
  <c r="W40" i="7" s="1"/>
  <c r="V40" i="7" a="1"/>
  <c r="V40" i="7" s="1"/>
  <c r="U40" i="7" a="1"/>
  <c r="U40" i="7" s="1"/>
  <c r="T40" i="7" a="1"/>
  <c r="T40" i="7" s="1"/>
  <c r="S40" i="7" a="1"/>
  <c r="S40" i="7" s="1"/>
  <c r="Y39" i="7" a="1"/>
  <c r="Y39" i="7" s="1"/>
  <c r="X39" i="7" a="1"/>
  <c r="X39" i="7" s="1"/>
  <c r="W39" i="7" a="1"/>
  <c r="W39" i="7" s="1"/>
  <c r="V39" i="7" a="1"/>
  <c r="V39" i="7" s="1"/>
  <c r="U39" i="7" a="1"/>
  <c r="U39" i="7" s="1"/>
  <c r="T39" i="7" a="1"/>
  <c r="T39" i="7" s="1"/>
  <c r="S39" i="7" a="1"/>
  <c r="S39" i="7" s="1"/>
  <c r="Y38" i="7" a="1"/>
  <c r="Y38" i="7" s="1"/>
  <c r="X38" i="7" a="1"/>
  <c r="X38" i="7" s="1"/>
  <c r="W38" i="7" a="1"/>
  <c r="W38" i="7" s="1"/>
  <c r="V38" i="7" a="1"/>
  <c r="V38" i="7" s="1"/>
  <c r="U38" i="7" a="1"/>
  <c r="U38" i="7" s="1"/>
  <c r="T38" i="7" a="1"/>
  <c r="T38" i="7" s="1"/>
  <c r="S38" i="7" a="1"/>
  <c r="S38" i="7" s="1"/>
  <c r="Y37" i="7" a="1"/>
  <c r="Y37" i="7" s="1"/>
  <c r="X37" i="7" a="1"/>
  <c r="X37" i="7" s="1"/>
  <c r="W37" i="7" a="1"/>
  <c r="W37" i="7" s="1"/>
  <c r="V37" i="7" a="1"/>
  <c r="V37" i="7" s="1"/>
  <c r="U37" i="7" a="1"/>
  <c r="U37" i="7" s="1"/>
  <c r="T37" i="7" a="1"/>
  <c r="T37" i="7" s="1"/>
  <c r="S37" i="7" a="1"/>
  <c r="S37" i="7" s="1"/>
  <c r="Y36" i="7" a="1"/>
  <c r="Y36" i="7" s="1"/>
  <c r="X36" i="7" a="1"/>
  <c r="X36" i="7" s="1"/>
  <c r="W36" i="7" a="1"/>
  <c r="W36" i="7" s="1"/>
  <c r="V36" i="7" a="1"/>
  <c r="V36" i="7" s="1"/>
  <c r="U36" i="7" a="1"/>
  <c r="U36" i="7" s="1"/>
  <c r="T36" i="7" a="1"/>
  <c r="T36" i="7" s="1"/>
  <c r="S36" i="7" a="1"/>
  <c r="S36" i="7" s="1"/>
  <c r="Y35" i="7" a="1"/>
  <c r="Y35" i="7" s="1"/>
  <c r="X35" i="7" a="1"/>
  <c r="X35" i="7" s="1"/>
  <c r="W35" i="7" a="1"/>
  <c r="W35" i="7" s="1"/>
  <c r="V35" i="7" a="1"/>
  <c r="V35" i="7" s="1"/>
  <c r="U35" i="7" a="1"/>
  <c r="U35" i="7" s="1"/>
  <c r="T35" i="7" a="1"/>
  <c r="T35" i="7" s="1"/>
  <c r="S35" i="7" a="1"/>
  <c r="S35" i="7" s="1"/>
  <c r="Y34" i="7" a="1"/>
  <c r="Y34" i="7" s="1"/>
  <c r="X34" i="7" a="1"/>
  <c r="X34" i="7" s="1"/>
  <c r="W34" i="7" a="1"/>
  <c r="W34" i="7" s="1"/>
  <c r="V34" i="7" a="1"/>
  <c r="V34" i="7" s="1"/>
  <c r="U34" i="7" a="1"/>
  <c r="U34" i="7" s="1"/>
  <c r="T34" i="7" a="1"/>
  <c r="T34" i="7" s="1"/>
  <c r="S34" i="7" a="1"/>
  <c r="S34" i="7" s="1"/>
  <c r="Y33" i="7" a="1"/>
  <c r="Y33" i="7" s="1"/>
  <c r="X33" i="7" a="1"/>
  <c r="X33" i="7" s="1"/>
  <c r="W33" i="7" a="1"/>
  <c r="W33" i="7" s="1"/>
  <c r="V33" i="7" a="1"/>
  <c r="V33" i="7" s="1"/>
  <c r="U33" i="7" a="1"/>
  <c r="U33" i="7" s="1"/>
  <c r="T33" i="7" a="1"/>
  <c r="T33" i="7" s="1"/>
  <c r="S33" i="7" a="1"/>
  <c r="S33" i="7" s="1"/>
  <c r="Y32" i="7" a="1"/>
  <c r="Y32" i="7" s="1"/>
  <c r="X32" i="7" a="1"/>
  <c r="X32" i="7" s="1"/>
  <c r="W32" i="7" a="1"/>
  <c r="W32" i="7" s="1"/>
  <c r="V32" i="7" a="1"/>
  <c r="V32" i="7" s="1"/>
  <c r="U32" i="7" a="1"/>
  <c r="U32" i="7" s="1"/>
  <c r="T32" i="7" a="1"/>
  <c r="T32" i="7" s="1"/>
  <c r="S32" i="7" a="1"/>
  <c r="S32" i="7" s="1"/>
  <c r="Y31" i="7" a="1"/>
  <c r="Y31" i="7" s="1"/>
  <c r="X31" i="7" a="1"/>
  <c r="X31" i="7" s="1"/>
  <c r="W31" i="7" a="1"/>
  <c r="W31" i="7" s="1"/>
  <c r="V31" i="7" a="1"/>
  <c r="V31" i="7" s="1"/>
  <c r="U31" i="7" a="1"/>
  <c r="U31" i="7" s="1"/>
  <c r="T31" i="7" a="1"/>
  <c r="T31" i="7" s="1"/>
  <c r="S31" i="7" a="1"/>
  <c r="S31" i="7" s="1"/>
  <c r="Y30" i="7" a="1"/>
  <c r="Y30" i="7" s="1"/>
  <c r="X30" i="7" a="1"/>
  <c r="X30" i="7" s="1"/>
  <c r="W30" i="7" a="1"/>
  <c r="W30" i="7" s="1"/>
  <c r="V30" i="7" a="1"/>
  <c r="V30" i="7" s="1"/>
  <c r="U30" i="7" a="1"/>
  <c r="U30" i="7" s="1"/>
  <c r="T30" i="7" a="1"/>
  <c r="T30" i="7" s="1"/>
  <c r="S30" i="7" a="1"/>
  <c r="S30" i="7" s="1"/>
  <c r="Y29" i="7" a="1"/>
  <c r="Y29" i="7" s="1"/>
  <c r="X29" i="7" a="1"/>
  <c r="X29" i="7" s="1"/>
  <c r="W29" i="7" a="1"/>
  <c r="W29" i="7" s="1"/>
  <c r="V29" i="7" a="1"/>
  <c r="V29" i="7" s="1"/>
  <c r="U29" i="7" a="1"/>
  <c r="U29" i="7" s="1"/>
  <c r="T29" i="7" a="1"/>
  <c r="T29" i="7" s="1"/>
  <c r="S29" i="7" a="1"/>
  <c r="S29" i="7" s="1"/>
  <c r="Y28" i="7" a="1"/>
  <c r="Y28" i="7" s="1"/>
  <c r="X28" i="7" a="1"/>
  <c r="X28" i="7" s="1"/>
  <c r="W28" i="7" a="1"/>
  <c r="W28" i="7" s="1"/>
  <c r="V28" i="7" a="1"/>
  <c r="V28" i="7" s="1"/>
  <c r="U28" i="7" a="1"/>
  <c r="U28" i="7" s="1"/>
  <c r="T28" i="7" a="1"/>
  <c r="T28" i="7" s="1"/>
  <c r="S28" i="7" a="1"/>
  <c r="S28" i="7" s="1"/>
  <c r="Y27" i="7" a="1"/>
  <c r="Y27" i="7" s="1"/>
  <c r="X27" i="7" a="1"/>
  <c r="X27" i="7" s="1"/>
  <c r="W27" i="7" a="1"/>
  <c r="W27" i="7" s="1"/>
  <c r="V27" i="7" a="1"/>
  <c r="V27" i="7" s="1"/>
  <c r="U27" i="7" a="1"/>
  <c r="U27" i="7" s="1"/>
  <c r="T27" i="7" a="1"/>
  <c r="T27" i="7" s="1"/>
  <c r="S27" i="7" a="1"/>
  <c r="S27" i="7" s="1"/>
  <c r="Y26" i="7" a="1"/>
  <c r="Y26" i="7" s="1"/>
  <c r="X26" i="7" a="1"/>
  <c r="X26" i="7" s="1"/>
  <c r="W26" i="7" a="1"/>
  <c r="W26" i="7" s="1"/>
  <c r="V26" i="7" a="1"/>
  <c r="V26" i="7" s="1"/>
  <c r="U26" i="7" a="1"/>
  <c r="U26" i="7" s="1"/>
  <c r="T26" i="7" a="1"/>
  <c r="T26" i="7" s="1"/>
  <c r="S26" i="7" a="1"/>
  <c r="S26" i="7" s="1"/>
  <c r="Y25" i="7" a="1"/>
  <c r="Y25" i="7" s="1"/>
  <c r="X25" i="7" a="1"/>
  <c r="X25" i="7" s="1"/>
  <c r="W25" i="7" a="1"/>
  <c r="W25" i="7" s="1"/>
  <c r="V25" i="7" a="1"/>
  <c r="V25" i="7" s="1"/>
  <c r="U25" i="7" a="1"/>
  <c r="U25" i="7" s="1"/>
  <c r="T25" i="7" a="1"/>
  <c r="T25" i="7" s="1"/>
  <c r="S25" i="7" a="1"/>
  <c r="S25" i="7" s="1"/>
  <c r="Y24" i="7" a="1"/>
  <c r="Y24" i="7" s="1"/>
  <c r="X24" i="7" a="1"/>
  <c r="X24" i="7" s="1"/>
  <c r="W24" i="7" a="1"/>
  <c r="W24" i="7" s="1"/>
  <c r="V24" i="7" a="1"/>
  <c r="V24" i="7" s="1"/>
  <c r="U24" i="7" a="1"/>
  <c r="U24" i="7" s="1"/>
  <c r="T24" i="7" a="1"/>
  <c r="T24" i="7" s="1"/>
  <c r="S24" i="7" a="1"/>
  <c r="S24" i="7" s="1"/>
  <c r="Y23" i="7" a="1"/>
  <c r="Y23" i="7" s="1"/>
  <c r="X23" i="7" a="1"/>
  <c r="X23" i="7" s="1"/>
  <c r="W23" i="7" a="1"/>
  <c r="W23" i="7" s="1"/>
  <c r="V23" i="7" a="1"/>
  <c r="V23" i="7" s="1"/>
  <c r="U23" i="7" a="1"/>
  <c r="U23" i="7" s="1"/>
  <c r="T23" i="7" a="1"/>
  <c r="T23" i="7" s="1"/>
  <c r="S23" i="7" a="1"/>
  <c r="S23" i="7" s="1"/>
  <c r="Y22" i="7" a="1"/>
  <c r="Y22" i="7" s="1"/>
  <c r="X22" i="7" a="1"/>
  <c r="X22" i="7" s="1"/>
  <c r="W22" i="7" a="1"/>
  <c r="W22" i="7" s="1"/>
  <c r="V22" i="7" a="1"/>
  <c r="V22" i="7" s="1"/>
  <c r="U22" i="7" a="1"/>
  <c r="U22" i="7" s="1"/>
  <c r="T22" i="7" a="1"/>
  <c r="T22" i="7" s="1"/>
  <c r="S22" i="7" a="1"/>
  <c r="S22" i="7" s="1"/>
  <c r="Y21" i="7" a="1"/>
  <c r="Y21" i="7" s="1"/>
  <c r="X21" i="7" a="1"/>
  <c r="X21" i="7" s="1"/>
  <c r="W21" i="7" a="1"/>
  <c r="W21" i="7" s="1"/>
  <c r="V21" i="7" a="1"/>
  <c r="V21" i="7" s="1"/>
  <c r="U21" i="7" a="1"/>
  <c r="U21" i="7" s="1"/>
  <c r="T21" i="7" a="1"/>
  <c r="T21" i="7" s="1"/>
  <c r="S21" i="7" a="1"/>
  <c r="S21" i="7" s="1"/>
  <c r="Y20" i="7" a="1"/>
  <c r="Y20" i="7" s="1"/>
  <c r="X20" i="7" a="1"/>
  <c r="X20" i="7" s="1"/>
  <c r="W20" i="7" a="1"/>
  <c r="W20" i="7" s="1"/>
  <c r="V20" i="7" a="1"/>
  <c r="V20" i="7" s="1"/>
  <c r="U20" i="7" a="1"/>
  <c r="U20" i="7" s="1"/>
  <c r="S20" i="7" a="1"/>
  <c r="S20" i="7" s="1"/>
  <c r="Y19" i="7" a="1"/>
  <c r="Y19" i="7" s="1"/>
  <c r="X19" i="7" a="1"/>
  <c r="X19" i="7" s="1"/>
  <c r="W19" i="7" a="1"/>
  <c r="W19" i="7" s="1"/>
  <c r="V19" i="7" a="1"/>
  <c r="V19" i="7" s="1"/>
  <c r="U19" i="7" a="1"/>
  <c r="U19" i="7" s="1"/>
  <c r="T19" i="7" a="1"/>
  <c r="T19" i="7" s="1"/>
  <c r="S19" i="7" a="1"/>
  <c r="S19" i="7" s="1"/>
  <c r="Y18" i="7" a="1"/>
  <c r="Y18" i="7" s="1"/>
  <c r="X18" i="7" a="1"/>
  <c r="X18" i="7" s="1"/>
  <c r="W18" i="7" a="1"/>
  <c r="W18" i="7" s="1"/>
  <c r="V18" i="7" a="1"/>
  <c r="V18" i="7" s="1"/>
  <c r="U18" i="7" a="1"/>
  <c r="U18" i="7" s="1"/>
  <c r="T18" i="7" a="1"/>
  <c r="T18" i="7" s="1"/>
  <c r="S18" i="7" a="1"/>
  <c r="S18" i="7" s="1"/>
  <c r="Y17" i="7" a="1"/>
  <c r="Y17" i="7" s="1"/>
  <c r="X17" i="7" a="1"/>
  <c r="X17" i="7" s="1"/>
  <c r="W17" i="7" a="1"/>
  <c r="W17" i="7" s="1"/>
  <c r="V17" i="7" a="1"/>
  <c r="V17" i="7" s="1"/>
  <c r="U17" i="7" a="1"/>
  <c r="U17" i="7" s="1"/>
  <c r="T17" i="7" a="1"/>
  <c r="T17" i="7" s="1"/>
  <c r="S17" i="7" a="1"/>
  <c r="S17" i="7" s="1"/>
  <c r="Y16" i="7" a="1"/>
  <c r="Y16" i="7" s="1"/>
  <c r="X16" i="7" a="1"/>
  <c r="X16" i="7" s="1"/>
  <c r="W16" i="7" a="1"/>
  <c r="W16" i="7" s="1"/>
  <c r="V16" i="7" a="1"/>
  <c r="V16" i="7" s="1"/>
  <c r="U16" i="7" a="1"/>
  <c r="U16" i="7" s="1"/>
  <c r="T16" i="7" a="1"/>
  <c r="T16" i="7" s="1"/>
  <c r="S16" i="7" a="1"/>
  <c r="S16" i="7" s="1"/>
  <c r="Y15" i="7" a="1"/>
  <c r="Y15" i="7" s="1"/>
  <c r="X15" i="7" a="1"/>
  <c r="X15" i="7" s="1"/>
  <c r="W15" i="7" a="1"/>
  <c r="W15" i="7" s="1"/>
  <c r="V15" i="7" a="1"/>
  <c r="V15" i="7" s="1"/>
  <c r="U15" i="7" a="1"/>
  <c r="U15" i="7" s="1"/>
  <c r="T15" i="7" a="1"/>
  <c r="T15" i="7" s="1"/>
  <c r="S15" i="7" a="1"/>
  <c r="S15" i="7" s="1"/>
  <c r="Y14" i="7" a="1"/>
  <c r="Y14" i="7" s="1"/>
  <c r="X14" i="7" a="1"/>
  <c r="X14" i="7" s="1"/>
  <c r="W14" i="7" a="1"/>
  <c r="W14" i="7" s="1"/>
  <c r="V14" i="7" a="1"/>
  <c r="V14" i="7" s="1"/>
  <c r="U14" i="7" a="1"/>
  <c r="U14" i="7" s="1"/>
  <c r="T14" i="7" a="1"/>
  <c r="T14" i="7" s="1"/>
  <c r="S14" i="7" a="1"/>
  <c r="S14" i="7" s="1"/>
  <c r="Y13" i="7" a="1"/>
  <c r="Y13" i="7" s="1"/>
  <c r="X13" i="7" a="1"/>
  <c r="X13" i="7" s="1"/>
  <c r="W13" i="7" a="1"/>
  <c r="W13" i="7" s="1"/>
  <c r="V13" i="7" a="1"/>
  <c r="V13" i="7" s="1"/>
  <c r="U13" i="7" a="1"/>
  <c r="U13" i="7" s="1"/>
  <c r="T13" i="7" a="1"/>
  <c r="T13" i="7" s="1"/>
  <c r="S13" i="7" a="1"/>
  <c r="S13" i="7" s="1"/>
  <c r="Y12" i="7" a="1"/>
  <c r="Y12" i="7" s="1"/>
  <c r="X12" i="7" a="1"/>
  <c r="X12" i="7" s="1"/>
  <c r="W12" i="7" a="1"/>
  <c r="W12" i="7" s="1"/>
  <c r="V12" i="7" a="1"/>
  <c r="V12" i="7" s="1"/>
  <c r="U12" i="7" a="1"/>
  <c r="U12" i="7" s="1"/>
  <c r="T12" i="7" a="1"/>
  <c r="T12" i="7" s="1"/>
  <c r="S12" i="7" a="1"/>
  <c r="S12" i="7" s="1"/>
  <c r="Y11" i="7" a="1"/>
  <c r="Y11" i="7" s="1"/>
  <c r="X11" i="7" a="1"/>
  <c r="X11" i="7" s="1"/>
  <c r="W11" i="7" a="1"/>
  <c r="W11" i="7" s="1"/>
  <c r="V11" i="7" a="1"/>
  <c r="V11" i="7" s="1"/>
  <c r="U11" i="7" a="1"/>
  <c r="U11" i="7" s="1"/>
  <c r="T11" i="7" a="1"/>
  <c r="T11" i="7" s="1"/>
  <c r="S11" i="7" a="1"/>
  <c r="S11" i="7" s="1"/>
  <c r="Y10" i="7" a="1"/>
  <c r="Y10" i="7" s="1"/>
  <c r="X10" i="7" a="1"/>
  <c r="X10" i="7" s="1"/>
  <c r="W10" i="7" a="1"/>
  <c r="W10" i="7" s="1"/>
  <c r="V10" i="7" a="1"/>
  <c r="V10" i="7" s="1"/>
  <c r="U10" i="7" a="1"/>
  <c r="U10" i="7" s="1"/>
  <c r="T10" i="7" a="1"/>
  <c r="T10" i="7" s="1"/>
  <c r="S10" i="7" a="1"/>
  <c r="S10" i="7" s="1"/>
  <c r="Y9" i="7" a="1"/>
  <c r="Y9" i="7" s="1"/>
  <c r="X9" i="7" a="1"/>
  <c r="X9" i="7" s="1"/>
  <c r="W9" i="7" a="1"/>
  <c r="W9" i="7" s="1"/>
  <c r="V9" i="7" a="1"/>
  <c r="V9" i="7" s="1"/>
  <c r="U9" i="7" a="1"/>
  <c r="U9" i="7" s="1"/>
  <c r="T9" i="7" a="1"/>
  <c r="T9" i="7" s="1"/>
  <c r="S9" i="7" a="1"/>
  <c r="S9" i="7" s="1"/>
  <c r="Y8" i="7" a="1"/>
  <c r="Y8" i="7" s="1"/>
  <c r="X8" i="7" a="1"/>
  <c r="X8" i="7" s="1"/>
  <c r="W8" i="7" a="1"/>
  <c r="W8" i="7" s="1"/>
  <c r="V8" i="7" a="1"/>
  <c r="V8" i="7" s="1"/>
  <c r="U8" i="7" a="1"/>
  <c r="U8" i="7" s="1"/>
  <c r="T8" i="7" a="1"/>
  <c r="T8" i="7" s="1"/>
  <c r="S8" i="7" a="1"/>
  <c r="S8" i="7" s="1"/>
  <c r="Y7" i="7" a="1"/>
  <c r="Y7" i="7" s="1"/>
  <c r="X7" i="7" a="1"/>
  <c r="X7" i="7" s="1"/>
  <c r="W7" i="7" a="1"/>
  <c r="W7" i="7" s="1"/>
  <c r="V7" i="7" a="1"/>
  <c r="V7" i="7" s="1"/>
  <c r="U7" i="7" a="1"/>
  <c r="U7" i="7" s="1"/>
  <c r="T7" i="7" a="1"/>
  <c r="T7" i="7" s="1"/>
  <c r="S7" i="7" a="1"/>
  <c r="S7" i="7" s="1"/>
  <c r="Y6" i="7" a="1"/>
  <c r="Y6" i="7" s="1"/>
  <c r="X6" i="7" a="1"/>
  <c r="X6" i="7" s="1"/>
  <c r="W6" i="7" a="1"/>
  <c r="W6" i="7" s="1"/>
  <c r="V6" i="7" a="1"/>
  <c r="V6" i="7" s="1"/>
  <c r="U6" i="7" a="1"/>
  <c r="U6" i="7" s="1"/>
  <c r="T6" i="7" a="1"/>
  <c r="T6" i="7" s="1"/>
  <c r="S6" i="7" a="1"/>
  <c r="S6" i="7" s="1"/>
  <c r="Y5" i="7" a="1"/>
  <c r="Y5" i="7" s="1"/>
  <c r="X5" i="7" a="1"/>
  <c r="X5" i="7" s="1"/>
  <c r="W5" i="7" a="1"/>
  <c r="W5" i="7" s="1"/>
  <c r="V5" i="7" a="1"/>
  <c r="V5" i="7" s="1"/>
  <c r="U5" i="7" a="1"/>
  <c r="U5" i="7" s="1"/>
  <c r="T5" i="7" a="1"/>
  <c r="T5" i="7" s="1"/>
  <c r="S5" i="7" a="1"/>
  <c r="S5" i="7" s="1"/>
  <c r="Y4" i="7" a="1"/>
  <c r="Y4" i="7" s="1"/>
  <c r="X4" i="7" a="1"/>
  <c r="X4" i="7" s="1"/>
  <c r="W4" i="7" a="1"/>
  <c r="W4" i="7" s="1"/>
  <c r="V4" i="7" a="1"/>
  <c r="V4" i="7" s="1"/>
  <c r="U4" i="7" a="1"/>
  <c r="U4" i="7" s="1"/>
  <c r="T4" i="7" a="1"/>
  <c r="T4" i="7" s="1"/>
  <c r="S4" i="7" a="1"/>
  <c r="S4" i="7" s="1"/>
  <c r="Z153" i="7" l="1"/>
  <c r="Z70" i="7"/>
  <c r="Z189" i="7"/>
  <c r="Z191" i="7"/>
  <c r="Z141" i="7"/>
  <c r="Z142" i="7"/>
  <c r="Z75" i="7"/>
  <c r="Z139" i="7"/>
  <c r="Z111" i="7"/>
  <c r="Z147" i="7"/>
  <c r="Z72" i="7"/>
  <c r="Z65" i="7"/>
  <c r="Z23" i="7"/>
  <c r="Z31" i="7"/>
  <c r="Z39" i="7"/>
  <c r="Z42" i="7"/>
  <c r="Z50" i="7"/>
  <c r="Z58" i="7"/>
  <c r="Z79" i="7"/>
  <c r="Z84" i="7"/>
  <c r="Z89" i="7"/>
  <c r="Z97" i="7"/>
  <c r="Z105" i="7"/>
  <c r="Z106" i="7"/>
  <c r="Z112" i="7"/>
  <c r="Z8" i="7"/>
  <c r="Z9" i="7"/>
  <c r="Z57" i="7"/>
  <c r="Z56" i="7"/>
  <c r="Z64" i="7"/>
  <c r="Z74" i="7"/>
  <c r="Z85" i="7"/>
  <c r="Z90" i="7"/>
  <c r="Z98" i="7"/>
  <c r="Z212" i="7"/>
  <c r="Z47" i="7"/>
  <c r="Z78" i="7"/>
  <c r="Z15" i="7"/>
  <c r="Z5" i="7"/>
  <c r="Z19" i="7"/>
  <c r="Z27" i="7"/>
  <c r="Z35" i="7"/>
  <c r="Z43" i="7"/>
  <c r="Z46" i="7"/>
  <c r="Z80" i="7"/>
  <c r="Z118" i="7"/>
  <c r="Z120" i="7"/>
  <c r="Z122" i="7"/>
  <c r="Z160" i="7"/>
  <c r="Z163" i="7"/>
  <c r="Z197" i="7"/>
  <c r="Z216" i="7"/>
  <c r="Z51" i="7"/>
  <c r="Z54" i="7"/>
  <c r="Z59" i="7"/>
  <c r="Z76" i="7"/>
  <c r="Z83" i="7"/>
  <c r="Z123" i="7"/>
  <c r="Z148" i="7"/>
  <c r="Z152" i="7"/>
  <c r="Z192" i="7"/>
  <c r="Z223" i="7"/>
  <c r="Z224" i="7"/>
  <c r="Z127" i="7"/>
  <c r="Z134" i="7"/>
  <c r="Z175" i="7"/>
  <c r="Z190" i="7"/>
  <c r="Z220" i="7"/>
  <c r="Z158" i="7"/>
  <c r="Z164" i="7"/>
  <c r="Z168" i="7"/>
  <c r="Z172" i="7"/>
  <c r="Z186" i="7"/>
  <c r="Z202" i="7"/>
  <c r="Z210" i="7"/>
  <c r="Z214" i="7"/>
  <c r="Z218" i="7"/>
  <c r="Z156" i="7"/>
  <c r="Z171" i="7"/>
  <c r="Z184" i="7"/>
  <c r="Z205" i="7"/>
  <c r="Z213" i="7"/>
  <c r="Z135" i="7"/>
  <c r="Z143" i="7"/>
  <c r="Z157" i="7"/>
  <c r="Z185" i="7"/>
  <c r="Z219" i="7"/>
  <c r="Z221" i="7"/>
  <c r="Z6" i="7"/>
  <c r="Z4" i="7"/>
  <c r="Z7" i="7"/>
  <c r="Z12" i="7"/>
  <c r="Z16" i="7"/>
  <c r="Z17" i="7"/>
  <c r="Z24" i="7"/>
  <c r="Z25" i="7"/>
  <c r="Z32" i="7"/>
  <c r="Z33" i="7"/>
  <c r="Z40" i="7"/>
  <c r="Z41" i="7"/>
  <c r="Z48" i="7"/>
  <c r="Z49" i="7"/>
  <c r="Z18" i="7"/>
  <c r="Z26" i="7"/>
  <c r="Z34" i="7"/>
  <c r="Z55" i="7"/>
  <c r="Z63" i="7"/>
  <c r="Z66" i="7"/>
  <c r="Z73" i="7"/>
  <c r="Z13" i="7"/>
  <c r="Z20" i="7"/>
  <c r="Z21" i="7"/>
  <c r="Z28" i="7"/>
  <c r="Z29" i="7"/>
  <c r="Z36" i="7"/>
  <c r="Z37" i="7"/>
  <c r="Z44" i="7"/>
  <c r="Z45" i="7"/>
  <c r="Z52" i="7"/>
  <c r="Z53" i="7"/>
  <c r="Z60" i="7"/>
  <c r="Z61" i="7"/>
  <c r="Z10" i="7"/>
  <c r="Z11" i="7"/>
  <c r="Z14" i="7"/>
  <c r="Z22" i="7"/>
  <c r="Z30" i="7"/>
  <c r="Z38" i="7"/>
  <c r="Z62" i="7"/>
  <c r="Z67" i="7"/>
  <c r="Z69" i="7"/>
  <c r="Z71" i="7"/>
  <c r="Z68" i="7"/>
  <c r="Z88" i="7"/>
  <c r="Z91" i="7"/>
  <c r="Z96" i="7"/>
  <c r="Z99" i="7"/>
  <c r="Z107" i="7"/>
  <c r="Z108" i="7"/>
  <c r="Z114" i="7"/>
  <c r="Z117" i="7"/>
  <c r="Z82" i="7"/>
  <c r="Z86" i="7"/>
  <c r="Z93" i="7"/>
  <c r="Z94" i="7"/>
  <c r="Z101" i="7"/>
  <c r="Z102" i="7"/>
  <c r="Z104" i="7"/>
  <c r="Z110" i="7"/>
  <c r="Z113" i="7"/>
  <c r="Z119" i="7"/>
  <c r="Z77" i="7"/>
  <c r="Z81" i="7"/>
  <c r="Z87" i="7"/>
  <c r="Z92" i="7"/>
  <c r="Z95" i="7"/>
  <c r="Z100" i="7"/>
  <c r="Z103" i="7"/>
  <c r="Z109" i="7"/>
  <c r="Z115" i="7"/>
  <c r="Z116" i="7"/>
  <c r="Z129" i="7"/>
  <c r="Z136" i="7"/>
  <c r="Z144" i="7"/>
  <c r="Z151" i="7"/>
  <c r="Z125" i="7"/>
  <c r="Z130" i="7"/>
  <c r="Z131" i="7"/>
  <c r="Z137" i="7"/>
  <c r="Z138" i="7"/>
  <c r="Z145" i="7"/>
  <c r="Z146" i="7"/>
  <c r="Z155" i="7"/>
  <c r="Z121" i="7"/>
  <c r="Z124" i="7"/>
  <c r="Z126" i="7"/>
  <c r="Z128" i="7"/>
  <c r="Z132" i="7"/>
  <c r="Z133" i="7"/>
  <c r="Z140" i="7"/>
  <c r="Z149" i="7"/>
  <c r="Z159" i="7"/>
  <c r="Z169" i="7"/>
  <c r="Z170" i="7"/>
  <c r="Z176" i="7"/>
  <c r="Z165" i="7"/>
  <c r="Z166" i="7"/>
  <c r="Z174" i="7"/>
  <c r="Z150" i="7"/>
  <c r="Z154" i="7"/>
  <c r="Z161" i="7"/>
  <c r="Z162" i="7"/>
  <c r="Z167" i="7"/>
  <c r="Z180" i="7"/>
  <c r="Z181" i="7"/>
  <c r="Z182" i="7"/>
  <c r="Z187" i="7"/>
  <c r="Z194" i="7"/>
  <c r="Z196" i="7"/>
  <c r="Z201" i="7"/>
  <c r="Z177" i="7"/>
  <c r="Z178" i="7"/>
  <c r="Z183" i="7"/>
  <c r="Z193" i="7"/>
  <c r="Z198" i="7"/>
  <c r="Z200" i="7"/>
  <c r="Z173" i="7"/>
  <c r="Z179" i="7"/>
  <c r="Z188" i="7"/>
  <c r="Z206" i="7"/>
  <c r="Z207" i="7"/>
  <c r="Z217" i="7"/>
  <c r="Z211" i="7"/>
  <c r="Z225" i="7"/>
  <c r="Z195" i="7"/>
  <c r="Z199" i="7"/>
  <c r="Z203" i="7"/>
  <c r="Z204" i="7"/>
  <c r="Z208" i="7"/>
  <c r="Z209" i="7"/>
  <c r="Z215" i="7"/>
  <c r="Z222" i="7"/>
  <c r="Z226" i="7"/>
  <c r="AK45" i="1" l="1"/>
  <c r="AL45" i="1"/>
  <c r="U42" i="1" l="1"/>
  <c r="D42" i="1"/>
  <c r="AE33" i="1" l="1"/>
  <c r="N32" i="1"/>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B6" i="3"/>
  <c r="D6" i="3" s="1"/>
  <c r="H6" i="3" l="1"/>
  <c r="P32" i="1"/>
  <c r="P33" i="1"/>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P4" i="4" a="1"/>
  <c r="P4" i="4" s="1"/>
  <c r="J6" i="3" l="1" a="1"/>
  <c r="J6" i="3" s="1"/>
  <c r="K6" i="3" a="1"/>
  <c r="K6" i="3" s="1"/>
  <c r="L6" i="3" a="1"/>
  <c r="L6" i="3" s="1"/>
  <c r="I6" i="3" a="1"/>
  <c r="I6" i="3" s="1"/>
  <c r="AO51" i="1"/>
  <c r="AO59" i="1"/>
  <c r="B5" i="4" a="1"/>
  <c r="B5" i="4" s="1"/>
  <c r="AO32" i="1"/>
  <c r="AO26" i="1"/>
  <c r="AG33" i="1"/>
  <c r="AO43" i="1" l="1"/>
  <c r="AO47" i="1"/>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AO13" i="1"/>
  <c r="T11" i="4" a="1"/>
  <c r="T11" i="4" s="1"/>
  <c r="T4" i="4" a="1"/>
  <c r="T4" i="4" s="1"/>
  <c r="L35" i="4"/>
  <c r="L36" i="4"/>
  <c r="L37" i="4"/>
  <c r="L38" i="4"/>
  <c r="L39" i="4"/>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W18" i="1" l="1"/>
  <c r="U13" i="1" s="1"/>
  <c r="AB27" i="1"/>
  <c r="X27" i="1"/>
  <c r="AA27" i="1"/>
  <c r="Y27" i="1"/>
  <c r="AD27" i="1"/>
  <c r="Z27" i="1"/>
  <c r="AC27" i="1"/>
  <c r="AA5" i="7"/>
  <c r="AA152" i="7"/>
  <c r="AA8" i="7"/>
  <c r="X18" i="1"/>
  <c r="AA93" i="7"/>
  <c r="AA120" i="7"/>
  <c r="AA16" i="7"/>
  <c r="AA88" i="7"/>
  <c r="AA149" i="7"/>
  <c r="AA32" i="7"/>
  <c r="AA162" i="7"/>
  <c r="AA130" i="7"/>
  <c r="AA98" i="7"/>
  <c r="AA154" i="7"/>
  <c r="AA122" i="7"/>
  <c r="AA90" i="7"/>
  <c r="AA146" i="7"/>
  <c r="AA114" i="7"/>
  <c r="AA82" i="7"/>
  <c r="AA48" i="7"/>
  <c r="AA170" i="7"/>
  <c r="AA138" i="7"/>
  <c r="AA106" i="7"/>
  <c r="AA74" i="7"/>
  <c r="AA92" i="7"/>
  <c r="AA44" i="7"/>
  <c r="AA42" i="7"/>
  <c r="AA24" i="7"/>
  <c r="AA108" i="7"/>
  <c r="AA60" i="7"/>
  <c r="AA28" i="7"/>
  <c r="AA58" i="7"/>
  <c r="AA26" i="7"/>
  <c r="AA116" i="7"/>
  <c r="AA100" i="7"/>
  <c r="AA84" i="7"/>
  <c r="AA68" i="7"/>
  <c r="AA52" i="7"/>
  <c r="AA36" i="7"/>
  <c r="AA20" i="7"/>
  <c r="AA168" i="7"/>
  <c r="AA72" i="7"/>
  <c r="AA66" i="7"/>
  <c r="AA56" i="7"/>
  <c r="AA50" i="7"/>
  <c r="AA40" i="7"/>
  <c r="AA34" i="7"/>
  <c r="AA18" i="7"/>
  <c r="AA76" i="7"/>
  <c r="AA12" i="7"/>
  <c r="AA136" i="7"/>
  <c r="AA104" i="7"/>
  <c r="AA10" i="7"/>
  <c r="AA140" i="7"/>
  <c r="AA148" i="7"/>
  <c r="AA164" i="7"/>
  <c r="AA132" i="7"/>
  <c r="AA80" i="7"/>
  <c r="AA64" i="7"/>
  <c r="AA160" i="7"/>
  <c r="AA172" i="7"/>
  <c r="AA156" i="7"/>
  <c r="AA124" i="7"/>
  <c r="AA69" i="7"/>
  <c r="AA141" i="7"/>
  <c r="AA14" i="7"/>
  <c r="AA158" i="7"/>
  <c r="AA125" i="7"/>
  <c r="AA165" i="7"/>
  <c r="AA101" i="7"/>
  <c r="AA94" i="7"/>
  <c r="AA185" i="7"/>
  <c r="AA57" i="7"/>
  <c r="AA37" i="7"/>
  <c r="AA182" i="7"/>
  <c r="AA62" i="7"/>
  <c r="AA61" i="7"/>
  <c r="AA49" i="7"/>
  <c r="AA29" i="7"/>
  <c r="AA220" i="7"/>
  <c r="AA121" i="7"/>
  <c r="AA189" i="7"/>
  <c r="AA129" i="7"/>
  <c r="AA190" i="7"/>
  <c r="AA159" i="7"/>
  <c r="AA110" i="7"/>
  <c r="AA46" i="7"/>
  <c r="AA143" i="7"/>
  <c r="AA198" i="7"/>
  <c r="AA161" i="7"/>
  <c r="AA145" i="7"/>
  <c r="AA97" i="7"/>
  <c r="AA33" i="7"/>
  <c r="AA17" i="7"/>
  <c r="AA78" i="7"/>
  <c r="AA184" i="7"/>
  <c r="AA176" i="7"/>
  <c r="AA167" i="7"/>
  <c r="AA174" i="7"/>
  <c r="AA144" i="7"/>
  <c r="AA128" i="7"/>
  <c r="AA112" i="7"/>
  <c r="AA96" i="7"/>
  <c r="AA30" i="7"/>
  <c r="AA105" i="7"/>
  <c r="AA73" i="7"/>
  <c r="AA196" i="7"/>
  <c r="AA173" i="7"/>
  <c r="AA153" i="7"/>
  <c r="AA89" i="7"/>
  <c r="AA133" i="7"/>
  <c r="AA41" i="7"/>
  <c r="AA9" i="7"/>
  <c r="AA217" i="7"/>
  <c r="AA207" i="7"/>
  <c r="AA187" i="7"/>
  <c r="AA179" i="7"/>
  <c r="AA139" i="7"/>
  <c r="AA197" i="7"/>
  <c r="AA181" i="7"/>
  <c r="AA157" i="7"/>
  <c r="AA117" i="7"/>
  <c r="AA85" i="7"/>
  <c r="AA21" i="7"/>
  <c r="AA223" i="7"/>
  <c r="AA201" i="7"/>
  <c r="AA195" i="7"/>
  <c r="AA171" i="7"/>
  <c r="AA155" i="7"/>
  <c r="AA25" i="7"/>
  <c r="AA193" i="7"/>
  <c r="AA177" i="7"/>
  <c r="AA151" i="7"/>
  <c r="AA135" i="7"/>
  <c r="AA224" i="7"/>
  <c r="AA216" i="7"/>
  <c r="AA212" i="7"/>
  <c r="AA208" i="7"/>
  <c r="AA204" i="7"/>
  <c r="AA200" i="7"/>
  <c r="AA192" i="7"/>
  <c r="AA188" i="7"/>
  <c r="AA180" i="7"/>
  <c r="AA169" i="7"/>
  <c r="AA137" i="7"/>
  <c r="AA113" i="7"/>
  <c r="AA109" i="7"/>
  <c r="AA81" i="7"/>
  <c r="AA45" i="7"/>
  <c r="AA142" i="7"/>
  <c r="AA219" i="7"/>
  <c r="AA213" i="7"/>
  <c r="AA203" i="7"/>
  <c r="AA119" i="7"/>
  <c r="AA103" i="7"/>
  <c r="AA87" i="7"/>
  <c r="AA71" i="7"/>
  <c r="AA55" i="7"/>
  <c r="AA39" i="7"/>
  <c r="AA23" i="7"/>
  <c r="AA7" i="7"/>
  <c r="AA53" i="7"/>
  <c r="AA222" i="7"/>
  <c r="AA214" i="7"/>
  <c r="AA206" i="7"/>
  <c r="AA65" i="7"/>
  <c r="AA221" i="7"/>
  <c r="AA211" i="7"/>
  <c r="AA205" i="7"/>
  <c r="AA127" i="7"/>
  <c r="AA111" i="7"/>
  <c r="AA95" i="7"/>
  <c r="AA79" i="7"/>
  <c r="AA63" i="7"/>
  <c r="AA47" i="7"/>
  <c r="AA31" i="7"/>
  <c r="AA15" i="7"/>
  <c r="AA77" i="7"/>
  <c r="AA13" i="7"/>
  <c r="AA218" i="7"/>
  <c r="AA202" i="7"/>
  <c r="AA226" i="7"/>
  <c r="AA210" i="7"/>
  <c r="AA126" i="7"/>
  <c r="AA123" i="7"/>
  <c r="AA107" i="7"/>
  <c r="AA91" i="7"/>
  <c r="AA75" i="7"/>
  <c r="AA59" i="7"/>
  <c r="AA43" i="7"/>
  <c r="AA27" i="7"/>
  <c r="AA11" i="7"/>
  <c r="AA225" i="7"/>
  <c r="AA215" i="7"/>
  <c r="AA209" i="7"/>
  <c r="AA199" i="7"/>
  <c r="AA194" i="7"/>
  <c r="AA191" i="7"/>
  <c r="AA186" i="7"/>
  <c r="AA183" i="7"/>
  <c r="AA178" i="7"/>
  <c r="AA175" i="7"/>
  <c r="AA166" i="7"/>
  <c r="AA163" i="7"/>
  <c r="AA150" i="7"/>
  <c r="AA147" i="7"/>
  <c r="AA134" i="7"/>
  <c r="AA131" i="7"/>
  <c r="AA118" i="7"/>
  <c r="AA115" i="7"/>
  <c r="AA102" i="7"/>
  <c r="AA99" i="7"/>
  <c r="AA86" i="7"/>
  <c r="AA83" i="7"/>
  <c r="AA70" i="7"/>
  <c r="AA67" i="7"/>
  <c r="AA54" i="7"/>
  <c r="AA51" i="7"/>
  <c r="AA38" i="7"/>
  <c r="AA35" i="7"/>
  <c r="AA22" i="7"/>
  <c r="AA19" i="7"/>
  <c r="AA6" i="7"/>
  <c r="Z18" i="1"/>
  <c r="Y18" i="1"/>
  <c r="AF32" i="1" s="1"/>
  <c r="AO15" i="1"/>
  <c r="T5" i="4"/>
  <c r="T6" i="4"/>
  <c r="T13" i="4"/>
  <c r="T15" i="4"/>
  <c r="T12" i="4"/>
  <c r="T14" i="4"/>
  <c r="T16" i="4"/>
  <c r="T7" i="4"/>
  <c r="AA28" i="1" l="1"/>
  <c r="AA35" i="1" s="1" a="1"/>
  <c r="AA35" i="1" s="1"/>
  <c r="Z28" i="1"/>
  <c r="Z36" i="1" s="1" a="1"/>
  <c r="Z36" i="1" s="1"/>
  <c r="X28" i="1"/>
  <c r="X35" i="1" s="1" a="1"/>
  <c r="X35" i="1" s="1"/>
  <c r="Y28" i="1"/>
  <c r="Y36" i="1" s="1" a="1"/>
  <c r="Y36" i="1" s="1"/>
  <c r="AC28" i="1"/>
  <c r="AC36" i="1" s="1" a="1"/>
  <c r="AC36" i="1" s="1"/>
  <c r="AD28" i="1"/>
  <c r="AD35" i="1" s="1" a="1"/>
  <c r="AD35" i="1" s="1"/>
  <c r="AB28" i="1"/>
  <c r="AB36" i="1" s="1" a="1"/>
  <c r="AB36" i="1" s="1"/>
  <c r="AB39" i="1" s="1" a="1"/>
  <c r="AB39" i="1" s="1"/>
  <c r="X31" i="1"/>
  <c r="Y32" i="1" a="1"/>
  <c r="Y32" i="1" s="1"/>
  <c r="Y31" i="1"/>
  <c r="AC32" i="1" a="1"/>
  <c r="AC32" i="1" s="1"/>
  <c r="AC31" i="1"/>
  <c r="AA32" i="1" a="1"/>
  <c r="AA32" i="1" s="1"/>
  <c r="AA31" i="1"/>
  <c r="Z32" i="1" a="1"/>
  <c r="Z32" i="1" s="1"/>
  <c r="Z31" i="1"/>
  <c r="AD32" i="1" a="1"/>
  <c r="AD32" i="1" s="1"/>
  <c r="AD31" i="1"/>
  <c r="AB32" i="1" a="1"/>
  <c r="AB32" i="1" s="1"/>
  <c r="AB31" i="1"/>
  <c r="X32" i="1" a="1"/>
  <c r="X32" i="1" s="1"/>
  <c r="AQ19" i="1"/>
  <c r="AQ17" i="1"/>
  <c r="Y34" i="1"/>
  <c r="AC34" i="1"/>
  <c r="AA34" i="1"/>
  <c r="Z34" i="1"/>
  <c r="X34" i="1"/>
  <c r="AD34" i="1"/>
  <c r="AB34" i="1"/>
  <c r="AB83" i="7"/>
  <c r="AB147" i="7"/>
  <c r="AB215" i="7"/>
  <c r="AB226" i="7"/>
  <c r="AB127" i="7"/>
  <c r="AB53" i="7"/>
  <c r="AB142" i="7"/>
  <c r="AB188" i="7"/>
  <c r="AB25" i="7"/>
  <c r="AB117" i="7"/>
  <c r="AB217" i="7"/>
  <c r="AB73" i="7"/>
  <c r="AB167" i="7"/>
  <c r="AB161" i="7"/>
  <c r="AB189" i="7"/>
  <c r="AB37" i="7"/>
  <c r="AB14" i="7"/>
  <c r="AB80" i="7"/>
  <c r="AB136" i="7"/>
  <c r="AB66" i="7"/>
  <c r="AB36" i="7"/>
  <c r="AB42" i="7"/>
  <c r="AB106" i="7"/>
  <c r="AB122" i="7"/>
  <c r="AB16" i="7"/>
  <c r="AB22" i="7"/>
  <c r="AB54" i="7"/>
  <c r="AB86" i="7"/>
  <c r="AB118" i="7"/>
  <c r="AB150" i="7"/>
  <c r="AB178" i="7"/>
  <c r="AB194" i="7"/>
  <c r="AB225" i="7"/>
  <c r="AB59" i="7"/>
  <c r="AB123" i="7"/>
  <c r="AB202" i="7"/>
  <c r="AB15" i="7"/>
  <c r="AB79" i="7"/>
  <c r="AB205" i="7"/>
  <c r="AB206" i="7"/>
  <c r="AB7" i="7"/>
  <c r="AB71" i="7"/>
  <c r="AB203" i="7"/>
  <c r="AB45" i="7"/>
  <c r="AB137" i="7"/>
  <c r="AB192" i="7"/>
  <c r="AB212" i="7"/>
  <c r="AB151" i="7"/>
  <c r="AB155" i="7"/>
  <c r="AB223" i="7"/>
  <c r="AB157" i="7"/>
  <c r="AB179" i="7"/>
  <c r="AB9" i="7"/>
  <c r="AB153" i="7"/>
  <c r="AB105" i="7"/>
  <c r="AB128" i="7"/>
  <c r="AB176" i="7"/>
  <c r="AB33" i="7"/>
  <c r="AB198" i="7"/>
  <c r="AB159" i="7"/>
  <c r="AB121" i="7"/>
  <c r="AB61" i="7"/>
  <c r="AB57" i="7"/>
  <c r="AB165" i="7"/>
  <c r="AB141" i="7"/>
  <c r="AB172" i="7"/>
  <c r="AB132" i="7"/>
  <c r="AB10" i="7"/>
  <c r="AB12" i="7"/>
  <c r="AC12" i="7" s="1"/>
  <c r="AB40" i="7"/>
  <c r="AB72" i="7"/>
  <c r="AB52" i="7"/>
  <c r="AB116" i="7"/>
  <c r="AB60" i="7"/>
  <c r="AB44" i="7"/>
  <c r="AB138" i="7"/>
  <c r="AB114" i="7"/>
  <c r="AB154" i="7"/>
  <c r="AB32" i="7"/>
  <c r="AB120" i="7"/>
  <c r="AB152" i="7"/>
  <c r="AB51" i="7"/>
  <c r="AB115" i="7"/>
  <c r="AB191" i="7"/>
  <c r="AB107" i="7"/>
  <c r="AB77" i="7"/>
  <c r="AB65" i="7"/>
  <c r="AB119" i="7"/>
  <c r="AB113" i="7"/>
  <c r="AB135" i="7"/>
  <c r="AB201" i="7"/>
  <c r="AB139" i="7"/>
  <c r="AB89" i="7"/>
  <c r="AB112" i="7"/>
  <c r="AB17" i="7"/>
  <c r="AB110" i="7"/>
  <c r="AB49" i="7"/>
  <c r="AB101" i="7"/>
  <c r="AB156" i="7"/>
  <c r="AB140" i="7"/>
  <c r="AB34" i="7"/>
  <c r="AB100" i="7"/>
  <c r="AB28" i="7"/>
  <c r="AB82" i="7"/>
  <c r="AB162" i="7"/>
  <c r="AB8" i="7"/>
  <c r="AB35" i="7"/>
  <c r="AB67" i="7"/>
  <c r="AB99" i="7"/>
  <c r="AB131" i="7"/>
  <c r="AB163" i="7"/>
  <c r="AB183" i="7"/>
  <c r="AB199" i="7"/>
  <c r="AB11" i="7"/>
  <c r="AB75" i="7"/>
  <c r="AB126" i="7"/>
  <c r="AB218" i="7"/>
  <c r="AB31" i="7"/>
  <c r="AB95" i="7"/>
  <c r="AB211" i="7"/>
  <c r="AB214" i="7"/>
  <c r="AB23" i="7"/>
  <c r="AB87" i="7"/>
  <c r="AB213" i="7"/>
  <c r="AB81" i="7"/>
  <c r="AB169" i="7"/>
  <c r="AB200" i="7"/>
  <c r="AB216" i="7"/>
  <c r="AB177" i="7"/>
  <c r="AB171" i="7"/>
  <c r="AB21" i="7"/>
  <c r="AB181" i="7"/>
  <c r="AB187" i="7"/>
  <c r="AB41" i="7"/>
  <c r="AB173" i="7"/>
  <c r="AB30" i="7"/>
  <c r="AB144" i="7"/>
  <c r="AB184" i="7"/>
  <c r="AB97" i="7"/>
  <c r="AB143" i="7"/>
  <c r="AB190" i="7"/>
  <c r="AB220" i="7"/>
  <c r="AB62" i="7"/>
  <c r="AB185" i="7"/>
  <c r="AB125" i="7"/>
  <c r="AB69" i="7"/>
  <c r="AB160" i="7"/>
  <c r="AB164" i="7"/>
  <c r="AB76" i="7"/>
  <c r="AB50" i="7"/>
  <c r="AB168" i="7"/>
  <c r="AB68" i="7"/>
  <c r="AB26" i="7"/>
  <c r="AB108" i="7"/>
  <c r="AB92" i="7"/>
  <c r="AB170" i="7"/>
  <c r="AB146" i="7"/>
  <c r="AB98" i="7"/>
  <c r="AB149" i="7"/>
  <c r="AB93" i="7"/>
  <c r="AC93" i="7" s="1"/>
  <c r="AB19" i="7"/>
  <c r="AB175" i="7"/>
  <c r="AB43" i="7"/>
  <c r="AB63" i="7"/>
  <c r="AB55" i="7"/>
  <c r="AB208" i="7"/>
  <c r="AB6" i="7"/>
  <c r="AB38" i="7"/>
  <c r="AB70" i="7"/>
  <c r="AB102" i="7"/>
  <c r="AB134" i="7"/>
  <c r="AB166" i="7"/>
  <c r="AB186" i="7"/>
  <c r="AB209" i="7"/>
  <c r="AB27" i="7"/>
  <c r="AB91" i="7"/>
  <c r="AB210" i="7"/>
  <c r="AB13" i="7"/>
  <c r="AB47" i="7"/>
  <c r="AB111" i="7"/>
  <c r="AB221" i="7"/>
  <c r="AB222" i="7"/>
  <c r="AB39" i="7"/>
  <c r="AB103" i="7"/>
  <c r="AB219" i="7"/>
  <c r="AB109" i="7"/>
  <c r="AB180" i="7"/>
  <c r="AB204" i="7"/>
  <c r="AB224" i="7"/>
  <c r="AB193" i="7"/>
  <c r="AB195" i="7"/>
  <c r="AB85" i="7"/>
  <c r="AB197" i="7"/>
  <c r="AB207" i="7"/>
  <c r="AB133" i="7"/>
  <c r="AB196" i="7"/>
  <c r="AB96" i="7"/>
  <c r="AB174" i="7"/>
  <c r="AB78" i="7"/>
  <c r="AB145" i="7"/>
  <c r="AB46" i="7"/>
  <c r="AB129" i="7"/>
  <c r="AB29" i="7"/>
  <c r="AB182" i="7"/>
  <c r="AB94" i="7"/>
  <c r="AB158" i="7"/>
  <c r="AB124" i="7"/>
  <c r="AB64" i="7"/>
  <c r="AB148" i="7"/>
  <c r="AB104" i="7"/>
  <c r="AB18" i="7"/>
  <c r="AB56" i="7"/>
  <c r="AB20" i="7"/>
  <c r="AB84" i="7"/>
  <c r="AB58" i="7"/>
  <c r="AB24" i="7"/>
  <c r="AB74" i="7"/>
  <c r="AB48" i="7"/>
  <c r="AB90" i="7"/>
  <c r="AB130" i="7"/>
  <c r="AB88" i="7"/>
  <c r="AB5" i="7"/>
  <c r="AA4" i="7"/>
  <c r="AC35" i="1" l="1" a="1"/>
  <c r="AC35" i="1" s="1"/>
  <c r="AB35" i="1" a="1"/>
  <c r="AB35" i="1" s="1"/>
  <c r="AD36" i="1" a="1"/>
  <c r="AD36" i="1" s="1"/>
  <c r="AD39" i="1" s="1" a="1"/>
  <c r="AD39" i="1" s="1"/>
  <c r="Y35" i="1" a="1"/>
  <c r="Y35" i="1" s="1"/>
  <c r="Z35" i="1" a="1"/>
  <c r="Z35" i="1" s="1"/>
  <c r="X36" i="1" a="1"/>
  <c r="X36" i="1" s="1"/>
  <c r="X39" i="1" s="1" a="1"/>
  <c r="X39" i="1" s="1"/>
  <c r="AA36" i="1" a="1"/>
  <c r="AA36" i="1" s="1"/>
  <c r="AA39" i="1" s="1" a="1"/>
  <c r="AA39" i="1" s="1"/>
  <c r="AO29" i="1"/>
  <c r="AH124" i="7"/>
  <c r="AD124" i="7"/>
  <c r="AF124" i="7"/>
  <c r="AI124" i="7"/>
  <c r="AE124" i="7"/>
  <c r="AG124" i="7"/>
  <c r="AC124" i="7"/>
  <c r="AI133" i="7"/>
  <c r="AE133" i="7"/>
  <c r="AH133" i="7"/>
  <c r="AD133" i="7"/>
  <c r="AG133" i="7"/>
  <c r="AC133" i="7"/>
  <c r="AF133" i="7"/>
  <c r="AG39" i="7"/>
  <c r="AC39" i="7"/>
  <c r="AF39" i="7"/>
  <c r="AI39" i="7"/>
  <c r="AE39" i="7"/>
  <c r="AH39" i="7"/>
  <c r="AD39" i="7"/>
  <c r="AG43" i="7"/>
  <c r="AC43" i="7"/>
  <c r="AF43" i="7"/>
  <c r="AI43" i="7"/>
  <c r="AE43" i="7"/>
  <c r="AH43" i="7"/>
  <c r="AD43" i="7"/>
  <c r="AI168" i="7"/>
  <c r="AE168" i="7"/>
  <c r="AH168" i="7"/>
  <c r="AD168" i="7"/>
  <c r="AG168" i="7"/>
  <c r="AC168" i="7"/>
  <c r="AF168" i="7"/>
  <c r="AI21" i="7"/>
  <c r="AE21" i="7"/>
  <c r="AH21" i="7"/>
  <c r="AD21" i="7"/>
  <c r="AG21" i="7"/>
  <c r="AC21" i="7"/>
  <c r="AF21" i="7"/>
  <c r="AI75" i="7"/>
  <c r="AE75" i="7"/>
  <c r="AH75" i="7"/>
  <c r="AD75" i="7"/>
  <c r="AG75" i="7"/>
  <c r="AF75" i="7"/>
  <c r="AC75" i="7"/>
  <c r="AI156" i="7"/>
  <c r="AE156" i="7"/>
  <c r="AH156" i="7"/>
  <c r="AD156" i="7"/>
  <c r="AG156" i="7"/>
  <c r="AC156" i="7"/>
  <c r="AF156" i="7"/>
  <c r="AH32" i="7"/>
  <c r="AD32" i="7"/>
  <c r="AG32" i="7"/>
  <c r="AC32" i="7"/>
  <c r="AF32" i="7"/>
  <c r="AI32" i="7"/>
  <c r="AE32" i="7"/>
  <c r="AH132" i="7"/>
  <c r="AD132" i="7"/>
  <c r="AG132" i="7"/>
  <c r="AC132" i="7"/>
  <c r="AF132" i="7"/>
  <c r="AI132" i="7"/>
  <c r="AE132" i="7"/>
  <c r="AH5" i="7"/>
  <c r="AD5" i="7"/>
  <c r="AG5" i="7"/>
  <c r="AC5" i="7"/>
  <c r="AF5" i="7"/>
  <c r="AI5" i="7"/>
  <c r="AE5" i="7"/>
  <c r="AG104" i="7"/>
  <c r="AC104" i="7"/>
  <c r="AF104" i="7"/>
  <c r="AI104" i="7"/>
  <c r="AE104" i="7"/>
  <c r="AH104" i="7"/>
  <c r="AD104" i="7"/>
  <c r="AI129" i="7"/>
  <c r="AE129" i="7"/>
  <c r="AG129" i="7"/>
  <c r="AC129" i="7"/>
  <c r="AF129" i="7"/>
  <c r="AD129" i="7"/>
  <c r="AH129" i="7"/>
  <c r="AH193" i="7"/>
  <c r="AD193" i="7"/>
  <c r="AG193" i="7"/>
  <c r="AC193" i="7"/>
  <c r="AI193" i="7"/>
  <c r="AF193" i="7"/>
  <c r="AE193" i="7"/>
  <c r="AI13" i="7"/>
  <c r="AE13" i="7"/>
  <c r="AH13" i="7"/>
  <c r="AD13" i="7"/>
  <c r="AG13" i="7"/>
  <c r="AC13" i="7"/>
  <c r="AF13" i="7"/>
  <c r="AI102" i="7"/>
  <c r="AE102" i="7"/>
  <c r="AH102" i="7"/>
  <c r="AD102" i="7"/>
  <c r="AG102" i="7"/>
  <c r="AC102" i="7"/>
  <c r="AF102" i="7"/>
  <c r="AI98" i="7"/>
  <c r="AE98" i="7"/>
  <c r="AH98" i="7"/>
  <c r="AD98" i="7"/>
  <c r="AG98" i="7"/>
  <c r="AC98" i="7"/>
  <c r="AF98" i="7"/>
  <c r="AF50" i="7"/>
  <c r="AI50" i="7"/>
  <c r="AE50" i="7"/>
  <c r="AH50" i="7"/>
  <c r="AD50" i="7"/>
  <c r="AG50" i="7"/>
  <c r="AC50" i="7"/>
  <c r="AI41" i="7"/>
  <c r="AE41" i="7"/>
  <c r="AH41" i="7"/>
  <c r="AD41" i="7"/>
  <c r="AG41" i="7"/>
  <c r="AC41" i="7"/>
  <c r="AF41" i="7"/>
  <c r="AG23" i="7"/>
  <c r="AC23" i="7"/>
  <c r="AF23" i="7"/>
  <c r="AI23" i="7"/>
  <c r="AE23" i="7"/>
  <c r="AH23" i="7"/>
  <c r="AD23" i="7"/>
  <c r="AG131" i="7"/>
  <c r="AC131" i="7"/>
  <c r="AF131" i="7"/>
  <c r="AI131" i="7"/>
  <c r="AE131" i="7"/>
  <c r="AH131" i="7"/>
  <c r="AD131" i="7"/>
  <c r="AH74" i="7"/>
  <c r="AD74" i="7"/>
  <c r="AG74" i="7"/>
  <c r="AC74" i="7"/>
  <c r="AI74" i="7"/>
  <c r="AF74" i="7"/>
  <c r="AE74" i="7"/>
  <c r="AH148" i="7"/>
  <c r="AD148" i="7"/>
  <c r="AG148" i="7"/>
  <c r="AC148" i="7"/>
  <c r="AI148" i="7"/>
  <c r="AF148" i="7"/>
  <c r="AE148" i="7"/>
  <c r="AF130" i="7"/>
  <c r="AH130" i="7"/>
  <c r="AD130" i="7"/>
  <c r="AG130" i="7"/>
  <c r="AC130" i="7"/>
  <c r="AI130" i="7"/>
  <c r="AE130" i="7"/>
  <c r="AH24" i="7"/>
  <c r="AD24" i="7"/>
  <c r="AG24" i="7"/>
  <c r="AC24" i="7"/>
  <c r="AF24" i="7"/>
  <c r="AI24" i="7"/>
  <c r="AE24" i="7"/>
  <c r="AH56" i="7"/>
  <c r="AD56" i="7"/>
  <c r="AG56" i="7"/>
  <c r="AC56" i="7"/>
  <c r="AF56" i="7"/>
  <c r="AI56" i="7"/>
  <c r="AE56" i="7"/>
  <c r="AH64" i="7"/>
  <c r="AD64" i="7"/>
  <c r="AG64" i="7"/>
  <c r="AC64" i="7"/>
  <c r="AF64" i="7"/>
  <c r="AI64" i="7"/>
  <c r="AE64" i="7"/>
  <c r="AG182" i="7"/>
  <c r="AC182" i="7"/>
  <c r="AF182" i="7"/>
  <c r="AI182" i="7"/>
  <c r="AE182" i="7"/>
  <c r="AD182" i="7"/>
  <c r="AH182" i="7"/>
  <c r="AI145" i="7"/>
  <c r="AE145" i="7"/>
  <c r="AG145" i="7"/>
  <c r="AF145" i="7"/>
  <c r="AD145" i="7"/>
  <c r="AH145" i="7"/>
  <c r="AC145" i="7"/>
  <c r="AG196" i="7"/>
  <c r="AC196" i="7"/>
  <c r="AF196" i="7"/>
  <c r="AI196" i="7"/>
  <c r="AH196" i="7"/>
  <c r="AE196" i="7"/>
  <c r="AD196" i="7"/>
  <c r="AH85" i="7"/>
  <c r="AD85" i="7"/>
  <c r="AG85" i="7"/>
  <c r="AC85" i="7"/>
  <c r="AF85" i="7"/>
  <c r="AI85" i="7"/>
  <c r="AE85" i="7"/>
  <c r="AH204" i="7"/>
  <c r="AD204" i="7"/>
  <c r="AI204" i="7"/>
  <c r="AC204" i="7"/>
  <c r="AG204" i="7"/>
  <c r="AF204" i="7"/>
  <c r="AE204" i="7"/>
  <c r="AF103" i="7"/>
  <c r="AI103" i="7"/>
  <c r="AE103" i="7"/>
  <c r="AH103" i="7"/>
  <c r="AD103" i="7"/>
  <c r="AG103" i="7"/>
  <c r="AC103" i="7"/>
  <c r="AF111" i="7"/>
  <c r="AI111" i="7"/>
  <c r="AE111" i="7"/>
  <c r="AH111" i="7"/>
  <c r="AD111" i="7"/>
  <c r="AG111" i="7"/>
  <c r="AC111" i="7"/>
  <c r="AF91" i="7"/>
  <c r="AI91" i="7"/>
  <c r="AE91" i="7"/>
  <c r="AH91" i="7"/>
  <c r="AD91" i="7"/>
  <c r="AG91" i="7"/>
  <c r="AC91" i="7"/>
  <c r="AG166" i="7"/>
  <c r="AC166" i="7"/>
  <c r="AF166" i="7"/>
  <c r="AI166" i="7"/>
  <c r="AE166" i="7"/>
  <c r="AH166" i="7"/>
  <c r="AD166" i="7"/>
  <c r="AF38" i="7"/>
  <c r="AI38" i="7"/>
  <c r="AE38" i="7"/>
  <c r="AH38" i="7"/>
  <c r="AD38" i="7"/>
  <c r="AG38" i="7"/>
  <c r="AC38" i="7"/>
  <c r="AG63" i="7"/>
  <c r="AC63" i="7"/>
  <c r="AF63" i="7"/>
  <c r="AI63" i="7"/>
  <c r="AE63" i="7"/>
  <c r="AH63" i="7"/>
  <c r="AD63" i="7"/>
  <c r="AH93" i="7"/>
  <c r="AD93" i="7"/>
  <c r="AG93" i="7"/>
  <c r="AF93" i="7"/>
  <c r="AI93" i="7"/>
  <c r="AE93" i="7"/>
  <c r="AF170" i="7"/>
  <c r="AI170" i="7"/>
  <c r="AD170" i="7"/>
  <c r="AH170" i="7"/>
  <c r="AC170" i="7"/>
  <c r="AG170" i="7"/>
  <c r="AE170" i="7"/>
  <c r="AF68" i="7"/>
  <c r="AE68" i="7"/>
  <c r="AI68" i="7"/>
  <c r="AD68" i="7"/>
  <c r="AH68" i="7"/>
  <c r="AC68" i="7"/>
  <c r="AG68" i="7"/>
  <c r="AI164" i="7"/>
  <c r="AE164" i="7"/>
  <c r="AH164" i="7"/>
  <c r="AD164" i="7"/>
  <c r="AG164" i="7"/>
  <c r="AC164" i="7"/>
  <c r="AF164" i="7"/>
  <c r="AF185" i="7"/>
  <c r="AI185" i="7"/>
  <c r="AE185" i="7"/>
  <c r="AH185" i="7"/>
  <c r="AD185" i="7"/>
  <c r="AG185" i="7"/>
  <c r="AC185" i="7"/>
  <c r="AG143" i="7"/>
  <c r="AC143" i="7"/>
  <c r="AE143" i="7"/>
  <c r="AI143" i="7"/>
  <c r="AD143" i="7"/>
  <c r="AH143" i="7"/>
  <c r="AF143" i="7"/>
  <c r="AF30" i="7"/>
  <c r="AI30" i="7"/>
  <c r="AE30" i="7"/>
  <c r="AH30" i="7"/>
  <c r="AD30" i="7"/>
  <c r="AG30" i="7"/>
  <c r="AC30" i="7"/>
  <c r="AF181" i="7"/>
  <c r="AI181" i="7"/>
  <c r="AE181" i="7"/>
  <c r="AH181" i="7"/>
  <c r="AD181" i="7"/>
  <c r="AC181" i="7"/>
  <c r="AG181" i="7"/>
  <c r="AH216" i="7"/>
  <c r="AD216" i="7"/>
  <c r="AG216" i="7"/>
  <c r="AC216" i="7"/>
  <c r="AI216" i="7"/>
  <c r="AF216" i="7"/>
  <c r="AE216" i="7"/>
  <c r="AI213" i="7"/>
  <c r="AE213" i="7"/>
  <c r="AH213" i="7"/>
  <c r="AD213" i="7"/>
  <c r="AG213" i="7"/>
  <c r="AF213" i="7"/>
  <c r="AC213" i="7"/>
  <c r="AG211" i="7"/>
  <c r="AC211" i="7"/>
  <c r="AF211" i="7"/>
  <c r="AH211" i="7"/>
  <c r="AE211" i="7"/>
  <c r="AD211" i="7"/>
  <c r="AI211" i="7"/>
  <c r="AF126" i="7"/>
  <c r="AH126" i="7"/>
  <c r="AD126" i="7"/>
  <c r="AG126" i="7"/>
  <c r="AC126" i="7"/>
  <c r="AE126" i="7"/>
  <c r="AI126" i="7"/>
  <c r="AH183" i="7"/>
  <c r="AD183" i="7"/>
  <c r="AG183" i="7"/>
  <c r="AC183" i="7"/>
  <c r="AF183" i="7"/>
  <c r="AI183" i="7"/>
  <c r="AE183" i="7"/>
  <c r="AG67" i="7"/>
  <c r="AC67" i="7"/>
  <c r="AF67" i="7"/>
  <c r="AI67" i="7"/>
  <c r="AE67" i="7"/>
  <c r="AH67" i="7"/>
  <c r="AD67" i="7"/>
  <c r="AH82" i="7"/>
  <c r="AD82" i="7"/>
  <c r="AG82" i="7"/>
  <c r="AC82" i="7"/>
  <c r="AF82" i="7"/>
  <c r="AI82" i="7"/>
  <c r="AE82" i="7"/>
  <c r="AH140" i="7"/>
  <c r="AD140" i="7"/>
  <c r="AI140" i="7"/>
  <c r="AC140" i="7"/>
  <c r="AG140" i="7"/>
  <c r="AF140" i="7"/>
  <c r="AE140" i="7"/>
  <c r="AI110" i="7"/>
  <c r="AE110" i="7"/>
  <c r="AH110" i="7"/>
  <c r="AD110" i="7"/>
  <c r="AG110" i="7"/>
  <c r="AC110" i="7"/>
  <c r="AF110" i="7"/>
  <c r="AG139" i="7"/>
  <c r="AC139" i="7"/>
  <c r="AE139" i="7"/>
  <c r="AI139" i="7"/>
  <c r="AD139" i="7"/>
  <c r="AH139" i="7"/>
  <c r="AF139" i="7"/>
  <c r="AF119" i="7"/>
  <c r="AI119" i="7"/>
  <c r="AE119" i="7"/>
  <c r="AH119" i="7"/>
  <c r="AD119" i="7"/>
  <c r="AG119" i="7"/>
  <c r="AC119" i="7"/>
  <c r="AF191" i="7"/>
  <c r="AE191" i="7"/>
  <c r="AI191" i="7"/>
  <c r="AD191" i="7"/>
  <c r="AH191" i="7"/>
  <c r="AC191" i="7"/>
  <c r="AG191" i="7"/>
  <c r="AH120" i="7"/>
  <c r="AD120" i="7"/>
  <c r="AI120" i="7"/>
  <c r="AE120" i="7"/>
  <c r="AC120" i="7"/>
  <c r="AG120" i="7"/>
  <c r="AF120" i="7"/>
  <c r="AF138" i="7"/>
  <c r="AG138" i="7"/>
  <c r="AE138" i="7"/>
  <c r="AI138" i="7"/>
  <c r="AD138" i="7"/>
  <c r="AH138" i="7"/>
  <c r="AC138" i="7"/>
  <c r="AH52" i="7"/>
  <c r="AD52" i="7"/>
  <c r="AG52" i="7"/>
  <c r="AC52" i="7"/>
  <c r="AF52" i="7"/>
  <c r="AI52" i="7"/>
  <c r="AE52" i="7"/>
  <c r="AF10" i="7"/>
  <c r="AI10" i="7"/>
  <c r="AE10" i="7"/>
  <c r="AH10" i="7"/>
  <c r="AD10" i="7"/>
  <c r="AG10" i="7"/>
  <c r="AC10" i="7"/>
  <c r="AF165" i="7"/>
  <c r="AI165" i="7"/>
  <c r="AE165" i="7"/>
  <c r="AH165" i="7"/>
  <c r="AD165" i="7"/>
  <c r="AG165" i="7"/>
  <c r="AC165" i="7"/>
  <c r="AH159" i="7"/>
  <c r="AD159" i="7"/>
  <c r="AG159" i="7"/>
  <c r="AC159" i="7"/>
  <c r="AF159" i="7"/>
  <c r="AE159" i="7"/>
  <c r="AI159" i="7"/>
  <c r="AH128" i="7"/>
  <c r="AD128" i="7"/>
  <c r="AF128" i="7"/>
  <c r="AI128" i="7"/>
  <c r="AE128" i="7"/>
  <c r="AC128" i="7"/>
  <c r="AG128" i="7"/>
  <c r="AH179" i="7"/>
  <c r="AD179" i="7"/>
  <c r="AG179" i="7"/>
  <c r="AC179" i="7"/>
  <c r="AF179" i="7"/>
  <c r="AI179" i="7"/>
  <c r="AE179" i="7"/>
  <c r="AG151" i="7"/>
  <c r="AC151" i="7"/>
  <c r="AF151" i="7"/>
  <c r="AI151" i="7"/>
  <c r="AH151" i="7"/>
  <c r="AE151" i="7"/>
  <c r="AD151" i="7"/>
  <c r="AI45" i="7"/>
  <c r="AE45" i="7"/>
  <c r="AH45" i="7"/>
  <c r="AD45" i="7"/>
  <c r="AG45" i="7"/>
  <c r="AC45" i="7"/>
  <c r="AF45" i="7"/>
  <c r="AF206" i="7"/>
  <c r="AG206" i="7"/>
  <c r="AE206" i="7"/>
  <c r="AI206" i="7"/>
  <c r="AD206" i="7"/>
  <c r="AC206" i="7"/>
  <c r="AH206" i="7"/>
  <c r="AI202" i="7"/>
  <c r="AE202" i="7"/>
  <c r="AH202" i="7"/>
  <c r="AD202" i="7"/>
  <c r="AC202" i="7"/>
  <c r="AG202" i="7"/>
  <c r="AF202" i="7"/>
  <c r="AI194" i="7"/>
  <c r="AE194" i="7"/>
  <c r="AH194" i="7"/>
  <c r="AD194" i="7"/>
  <c r="AC194" i="7"/>
  <c r="AG194" i="7"/>
  <c r="AF194" i="7"/>
  <c r="AI86" i="7"/>
  <c r="AE86" i="7"/>
  <c r="AH86" i="7"/>
  <c r="AD86" i="7"/>
  <c r="AG86" i="7"/>
  <c r="AC86" i="7"/>
  <c r="AF86" i="7"/>
  <c r="AF122" i="7"/>
  <c r="AH122" i="7"/>
  <c r="AD122" i="7"/>
  <c r="AG122" i="7"/>
  <c r="AC122" i="7"/>
  <c r="AE122" i="7"/>
  <c r="AI122" i="7"/>
  <c r="AF66" i="7"/>
  <c r="AI66" i="7"/>
  <c r="AE66" i="7"/>
  <c r="AH66" i="7"/>
  <c r="AD66" i="7"/>
  <c r="AG66" i="7"/>
  <c r="AC66" i="7"/>
  <c r="AI37" i="7"/>
  <c r="AE37" i="7"/>
  <c r="AH37" i="7"/>
  <c r="AD37" i="7"/>
  <c r="AG37" i="7"/>
  <c r="AC37" i="7"/>
  <c r="AF37" i="7"/>
  <c r="AG73" i="7"/>
  <c r="AC73" i="7"/>
  <c r="AI73" i="7"/>
  <c r="AD73" i="7"/>
  <c r="AH73" i="7"/>
  <c r="AF73" i="7"/>
  <c r="AE73" i="7"/>
  <c r="AG188" i="7"/>
  <c r="AC188" i="7"/>
  <c r="AI188" i="7"/>
  <c r="AD188" i="7"/>
  <c r="AH188" i="7"/>
  <c r="AF188" i="7"/>
  <c r="AE188" i="7"/>
  <c r="AF226" i="7"/>
  <c r="AI226" i="7"/>
  <c r="AE226" i="7"/>
  <c r="AH226" i="7"/>
  <c r="AG226" i="7"/>
  <c r="AD226" i="7"/>
  <c r="AC226" i="7"/>
  <c r="AF58" i="7"/>
  <c r="AI58" i="7"/>
  <c r="AE58" i="7"/>
  <c r="AH58" i="7"/>
  <c r="AD58" i="7"/>
  <c r="AG58" i="7"/>
  <c r="AC58" i="7"/>
  <c r="AH78" i="7"/>
  <c r="AD78" i="7"/>
  <c r="AG78" i="7"/>
  <c r="AC78" i="7"/>
  <c r="AI78" i="7"/>
  <c r="AF78" i="7"/>
  <c r="AE78" i="7"/>
  <c r="AG27" i="7"/>
  <c r="AC27" i="7"/>
  <c r="AF27" i="7"/>
  <c r="AI27" i="7"/>
  <c r="AE27" i="7"/>
  <c r="AH27" i="7"/>
  <c r="AD27" i="7"/>
  <c r="AI149" i="7"/>
  <c r="AE149" i="7"/>
  <c r="AH149" i="7"/>
  <c r="AD149" i="7"/>
  <c r="AC149" i="7"/>
  <c r="AG149" i="7"/>
  <c r="AF149" i="7"/>
  <c r="AH97" i="7"/>
  <c r="AD97" i="7"/>
  <c r="AG97" i="7"/>
  <c r="AC97" i="7"/>
  <c r="AF97" i="7"/>
  <c r="AI97" i="7"/>
  <c r="AE97" i="7"/>
  <c r="AF95" i="7"/>
  <c r="AI95" i="7"/>
  <c r="AE95" i="7"/>
  <c r="AH95" i="7"/>
  <c r="AD95" i="7"/>
  <c r="AG95" i="7"/>
  <c r="AC95" i="7"/>
  <c r="AH28" i="7"/>
  <c r="AD28" i="7"/>
  <c r="AG28" i="7"/>
  <c r="AC28" i="7"/>
  <c r="AF28" i="7"/>
  <c r="AI28" i="7"/>
  <c r="AE28" i="7"/>
  <c r="AI65" i="7"/>
  <c r="AE65" i="7"/>
  <c r="AH65" i="7"/>
  <c r="AD65" i="7"/>
  <c r="AG65" i="7"/>
  <c r="AC65" i="7"/>
  <c r="AF65" i="7"/>
  <c r="AH44" i="7"/>
  <c r="AD44" i="7"/>
  <c r="AG44" i="7"/>
  <c r="AC44" i="7"/>
  <c r="AF44" i="7"/>
  <c r="AI44" i="7"/>
  <c r="AE44" i="7"/>
  <c r="AI198" i="7"/>
  <c r="AE198" i="7"/>
  <c r="AH198" i="7"/>
  <c r="AD198" i="7"/>
  <c r="AC198" i="7"/>
  <c r="AG198" i="7"/>
  <c r="AF198" i="7"/>
  <c r="AH105" i="7"/>
  <c r="AD105" i="7"/>
  <c r="AG105" i="7"/>
  <c r="AC105" i="7"/>
  <c r="AF105" i="7"/>
  <c r="AI105" i="7"/>
  <c r="AE105" i="7"/>
  <c r="AF157" i="7"/>
  <c r="AI157" i="7"/>
  <c r="AE157" i="7"/>
  <c r="AH157" i="7"/>
  <c r="AD157" i="7"/>
  <c r="AG157" i="7"/>
  <c r="AC157" i="7"/>
  <c r="AH212" i="7"/>
  <c r="AD212" i="7"/>
  <c r="AG212" i="7"/>
  <c r="AC212" i="7"/>
  <c r="AI212" i="7"/>
  <c r="AF212" i="7"/>
  <c r="AE212" i="7"/>
  <c r="AF203" i="7"/>
  <c r="AI203" i="7"/>
  <c r="AE203" i="7"/>
  <c r="AH203" i="7"/>
  <c r="AD203" i="7"/>
  <c r="AG203" i="7"/>
  <c r="AC203" i="7"/>
  <c r="AI205" i="7"/>
  <c r="AE205" i="7"/>
  <c r="AG205" i="7"/>
  <c r="AF205" i="7"/>
  <c r="AD205" i="7"/>
  <c r="AC205" i="7"/>
  <c r="AH205" i="7"/>
  <c r="AG123" i="7"/>
  <c r="AC123" i="7"/>
  <c r="AI123" i="7"/>
  <c r="AE123" i="7"/>
  <c r="AH123" i="7"/>
  <c r="AD123" i="7"/>
  <c r="AF123" i="7"/>
  <c r="AG178" i="7"/>
  <c r="AC178" i="7"/>
  <c r="AF178" i="7"/>
  <c r="AI178" i="7"/>
  <c r="AE178" i="7"/>
  <c r="AH178" i="7"/>
  <c r="AD178" i="7"/>
  <c r="AF54" i="7"/>
  <c r="AI54" i="7"/>
  <c r="AE54" i="7"/>
  <c r="AH54" i="7"/>
  <c r="AD54" i="7"/>
  <c r="AG54" i="7"/>
  <c r="AC54" i="7"/>
  <c r="AI106" i="7"/>
  <c r="AE106" i="7"/>
  <c r="AH106" i="7"/>
  <c r="AD106" i="7"/>
  <c r="AG106" i="7"/>
  <c r="AC106" i="7"/>
  <c r="AF106" i="7"/>
  <c r="AH136" i="7"/>
  <c r="AD136" i="7"/>
  <c r="AI136" i="7"/>
  <c r="AC136" i="7"/>
  <c r="AG136" i="7"/>
  <c r="AF136" i="7"/>
  <c r="AE136" i="7"/>
  <c r="AH189" i="7"/>
  <c r="AD189" i="7"/>
  <c r="AG189" i="7"/>
  <c r="AF189" i="7"/>
  <c r="AE189" i="7"/>
  <c r="AC189" i="7"/>
  <c r="AI189" i="7"/>
  <c r="AI217" i="7"/>
  <c r="AE217" i="7"/>
  <c r="AH217" i="7"/>
  <c r="AD217" i="7"/>
  <c r="AG217" i="7"/>
  <c r="AF217" i="7"/>
  <c r="AC217" i="7"/>
  <c r="AF142" i="7"/>
  <c r="AG142" i="7"/>
  <c r="AE142" i="7"/>
  <c r="AI142" i="7"/>
  <c r="AD142" i="7"/>
  <c r="AH142" i="7"/>
  <c r="AC142" i="7"/>
  <c r="AG215" i="7"/>
  <c r="AC215" i="7"/>
  <c r="AF215" i="7"/>
  <c r="AH215" i="7"/>
  <c r="AE215" i="7"/>
  <c r="AD215" i="7"/>
  <c r="AI215" i="7"/>
  <c r="AF18" i="7"/>
  <c r="AI18" i="7"/>
  <c r="AE18" i="7"/>
  <c r="AH18" i="7"/>
  <c r="AD18" i="7"/>
  <c r="AG18" i="7"/>
  <c r="AC18" i="7"/>
  <c r="AF195" i="7"/>
  <c r="AI195" i="7"/>
  <c r="AE195" i="7"/>
  <c r="AG195" i="7"/>
  <c r="AD195" i="7"/>
  <c r="AC195" i="7"/>
  <c r="AH195" i="7"/>
  <c r="AF134" i="7"/>
  <c r="AG134" i="7"/>
  <c r="AE134" i="7"/>
  <c r="AI134" i="7"/>
  <c r="AD134" i="7"/>
  <c r="AH134" i="7"/>
  <c r="AC134" i="7"/>
  <c r="AG92" i="7"/>
  <c r="AC92" i="7"/>
  <c r="AF92" i="7"/>
  <c r="AI92" i="7"/>
  <c r="AE92" i="7"/>
  <c r="AH92" i="7"/>
  <c r="AD92" i="7"/>
  <c r="AF62" i="7"/>
  <c r="AI62" i="7"/>
  <c r="AE62" i="7"/>
  <c r="AH62" i="7"/>
  <c r="AD62" i="7"/>
  <c r="AG62" i="7"/>
  <c r="AC62" i="7"/>
  <c r="AG200" i="7"/>
  <c r="AC200" i="7"/>
  <c r="AF200" i="7"/>
  <c r="AI200" i="7"/>
  <c r="AH200" i="7"/>
  <c r="AE200" i="7"/>
  <c r="AD200" i="7"/>
  <c r="AH163" i="7"/>
  <c r="AD163" i="7"/>
  <c r="AG163" i="7"/>
  <c r="AC163" i="7"/>
  <c r="AF163" i="7"/>
  <c r="AI163" i="7"/>
  <c r="AE163" i="7"/>
  <c r="AH201" i="7"/>
  <c r="AD201" i="7"/>
  <c r="AG201" i="7"/>
  <c r="AC201" i="7"/>
  <c r="AI201" i="7"/>
  <c r="AF201" i="7"/>
  <c r="AE201" i="7"/>
  <c r="AF72" i="7"/>
  <c r="AE72" i="7"/>
  <c r="AI72" i="7"/>
  <c r="AD72" i="7"/>
  <c r="AH72" i="7"/>
  <c r="AC72" i="7"/>
  <c r="AG72" i="7"/>
  <c r="AH48" i="7"/>
  <c r="AD48" i="7"/>
  <c r="AG48" i="7"/>
  <c r="AC48" i="7"/>
  <c r="AF48" i="7"/>
  <c r="AI48" i="7"/>
  <c r="AE48" i="7"/>
  <c r="AG174" i="7"/>
  <c r="AC174" i="7"/>
  <c r="AF174" i="7"/>
  <c r="AD174" i="7"/>
  <c r="AI174" i="7"/>
  <c r="AH174" i="7"/>
  <c r="AE174" i="7"/>
  <c r="AF222" i="7"/>
  <c r="AI222" i="7"/>
  <c r="AE222" i="7"/>
  <c r="AC222" i="7"/>
  <c r="AH222" i="7"/>
  <c r="AG222" i="7"/>
  <c r="AD222" i="7"/>
  <c r="AH175" i="7"/>
  <c r="AD175" i="7"/>
  <c r="AG175" i="7"/>
  <c r="AC175" i="7"/>
  <c r="AF175" i="7"/>
  <c r="AI175" i="7"/>
  <c r="AE175" i="7"/>
  <c r="AH220" i="7"/>
  <c r="AD220" i="7"/>
  <c r="AG220" i="7"/>
  <c r="AC220" i="7"/>
  <c r="AI220" i="7"/>
  <c r="AF220" i="7"/>
  <c r="AE220" i="7"/>
  <c r="AG171" i="7"/>
  <c r="AC171" i="7"/>
  <c r="AH171" i="7"/>
  <c r="AF171" i="7"/>
  <c r="AE171" i="7"/>
  <c r="AI171" i="7"/>
  <c r="AD171" i="7"/>
  <c r="AG31" i="7"/>
  <c r="AC31" i="7"/>
  <c r="AF31" i="7"/>
  <c r="AI31" i="7"/>
  <c r="AE31" i="7"/>
  <c r="AH31" i="7"/>
  <c r="AD31" i="7"/>
  <c r="AH8" i="7"/>
  <c r="AD8" i="7"/>
  <c r="AG8" i="7"/>
  <c r="AC8" i="7"/>
  <c r="AF8" i="7"/>
  <c r="AE8" i="7"/>
  <c r="AI8" i="7"/>
  <c r="AG100" i="7"/>
  <c r="AC100" i="7"/>
  <c r="AF100" i="7"/>
  <c r="AI100" i="7"/>
  <c r="AE100" i="7"/>
  <c r="AH100" i="7"/>
  <c r="AD100" i="7"/>
  <c r="AH101" i="7"/>
  <c r="AD101" i="7"/>
  <c r="AG101" i="7"/>
  <c r="AC101" i="7"/>
  <c r="AF101" i="7"/>
  <c r="AI101" i="7"/>
  <c r="AE101" i="7"/>
  <c r="AG112" i="7"/>
  <c r="AC112" i="7"/>
  <c r="AF112" i="7"/>
  <c r="AI112" i="7"/>
  <c r="AE112" i="7"/>
  <c r="AH112" i="7"/>
  <c r="AD112" i="7"/>
  <c r="AG135" i="7"/>
  <c r="AC135" i="7"/>
  <c r="AE135" i="7"/>
  <c r="AI135" i="7"/>
  <c r="AD135" i="7"/>
  <c r="AH135" i="7"/>
  <c r="AF135" i="7"/>
  <c r="AG77" i="7"/>
  <c r="AC77" i="7"/>
  <c r="AF77" i="7"/>
  <c r="AH77" i="7"/>
  <c r="AE77" i="7"/>
  <c r="AD77" i="7"/>
  <c r="AI77" i="7"/>
  <c r="AG51" i="7"/>
  <c r="AC51" i="7"/>
  <c r="AF51" i="7"/>
  <c r="AI51" i="7"/>
  <c r="AE51" i="7"/>
  <c r="AH51" i="7"/>
  <c r="AD51" i="7"/>
  <c r="AF154" i="7"/>
  <c r="AI154" i="7"/>
  <c r="AE154" i="7"/>
  <c r="AG154" i="7"/>
  <c r="AD154" i="7"/>
  <c r="AC154" i="7"/>
  <c r="AH154" i="7"/>
  <c r="AH60" i="7"/>
  <c r="AD60" i="7"/>
  <c r="AG60" i="7"/>
  <c r="AC60" i="7"/>
  <c r="AF60" i="7"/>
  <c r="AI60" i="7"/>
  <c r="AE60" i="7"/>
  <c r="AH40" i="7"/>
  <c r="AD40" i="7"/>
  <c r="AG40" i="7"/>
  <c r="AC40" i="7"/>
  <c r="AF40" i="7"/>
  <c r="AI40" i="7"/>
  <c r="AE40" i="7"/>
  <c r="AH172" i="7"/>
  <c r="AD172" i="7"/>
  <c r="AF172" i="7"/>
  <c r="AE172" i="7"/>
  <c r="AI172" i="7"/>
  <c r="AC172" i="7"/>
  <c r="AG172" i="7"/>
  <c r="AI61" i="7"/>
  <c r="AE61" i="7"/>
  <c r="AH61" i="7"/>
  <c r="AD61" i="7"/>
  <c r="AG61" i="7"/>
  <c r="AC61" i="7"/>
  <c r="AF61" i="7"/>
  <c r="AI33" i="7"/>
  <c r="AE33" i="7"/>
  <c r="AH33" i="7"/>
  <c r="AD33" i="7"/>
  <c r="AG33" i="7"/>
  <c r="AC33" i="7"/>
  <c r="AF33" i="7"/>
  <c r="AI153" i="7"/>
  <c r="AE153" i="7"/>
  <c r="AH153" i="7"/>
  <c r="AD153" i="7"/>
  <c r="AC153" i="7"/>
  <c r="AG153" i="7"/>
  <c r="AF153" i="7"/>
  <c r="AG223" i="7"/>
  <c r="AC223" i="7"/>
  <c r="AF223" i="7"/>
  <c r="AI223" i="7"/>
  <c r="AH223" i="7"/>
  <c r="AE223" i="7"/>
  <c r="AD223" i="7"/>
  <c r="AG192" i="7"/>
  <c r="AC192" i="7"/>
  <c r="AI192" i="7"/>
  <c r="AD192" i="7"/>
  <c r="AH192" i="7"/>
  <c r="AF192" i="7"/>
  <c r="AE192" i="7"/>
  <c r="AI71" i="7"/>
  <c r="AE71" i="7"/>
  <c r="AF71" i="7"/>
  <c r="AD71" i="7"/>
  <c r="AH71" i="7"/>
  <c r="AC71" i="7"/>
  <c r="AG71" i="7"/>
  <c r="AI79" i="7"/>
  <c r="AE79" i="7"/>
  <c r="AH79" i="7"/>
  <c r="AD79" i="7"/>
  <c r="AG79" i="7"/>
  <c r="AF79" i="7"/>
  <c r="AC79" i="7"/>
  <c r="AG59" i="7"/>
  <c r="AC59" i="7"/>
  <c r="AF59" i="7"/>
  <c r="AI59" i="7"/>
  <c r="AE59" i="7"/>
  <c r="AH59" i="7"/>
  <c r="AD59" i="7"/>
  <c r="AF150" i="7"/>
  <c r="AI150" i="7"/>
  <c r="AE150" i="7"/>
  <c r="AG150" i="7"/>
  <c r="AD150" i="7"/>
  <c r="AC150" i="7"/>
  <c r="AH150" i="7"/>
  <c r="AF22" i="7"/>
  <c r="AI22" i="7"/>
  <c r="AE22" i="7"/>
  <c r="AH22" i="7"/>
  <c r="AD22" i="7"/>
  <c r="AG22" i="7"/>
  <c r="AC22" i="7"/>
  <c r="AF42" i="7"/>
  <c r="AI42" i="7"/>
  <c r="AE42" i="7"/>
  <c r="AH42" i="7"/>
  <c r="AD42" i="7"/>
  <c r="AG42" i="7"/>
  <c r="AC42" i="7"/>
  <c r="AF80" i="7"/>
  <c r="AI80" i="7"/>
  <c r="AE80" i="7"/>
  <c r="AD80" i="7"/>
  <c r="AC80" i="7"/>
  <c r="AH80" i="7"/>
  <c r="AG80" i="7"/>
  <c r="AF161" i="7"/>
  <c r="AI161" i="7"/>
  <c r="AE161" i="7"/>
  <c r="AH161" i="7"/>
  <c r="AD161" i="7"/>
  <c r="AG161" i="7"/>
  <c r="AC161" i="7"/>
  <c r="AH117" i="7"/>
  <c r="AD117" i="7"/>
  <c r="AG117" i="7"/>
  <c r="AC117" i="7"/>
  <c r="AF117" i="7"/>
  <c r="AI117" i="7"/>
  <c r="AE117" i="7"/>
  <c r="AI53" i="7"/>
  <c r="AE53" i="7"/>
  <c r="AH53" i="7"/>
  <c r="AD53" i="7"/>
  <c r="AG53" i="7"/>
  <c r="AC53" i="7"/>
  <c r="AF53" i="7"/>
  <c r="AG147" i="7"/>
  <c r="AC147" i="7"/>
  <c r="AF147" i="7"/>
  <c r="AI147" i="7"/>
  <c r="AH147" i="7"/>
  <c r="AE147" i="7"/>
  <c r="AD147" i="7"/>
  <c r="AI90" i="7"/>
  <c r="AE90" i="7"/>
  <c r="AH90" i="7"/>
  <c r="AD90" i="7"/>
  <c r="AG90" i="7"/>
  <c r="AC90" i="7"/>
  <c r="AF90" i="7"/>
  <c r="AI29" i="7"/>
  <c r="AE29" i="7"/>
  <c r="AH29" i="7"/>
  <c r="AD29" i="7"/>
  <c r="AG29" i="7"/>
  <c r="AC29" i="7"/>
  <c r="AF29" i="7"/>
  <c r="AI180" i="7"/>
  <c r="AE180" i="7"/>
  <c r="AH180" i="7"/>
  <c r="AD180" i="7"/>
  <c r="AG180" i="7"/>
  <c r="AC180" i="7"/>
  <c r="AF180" i="7"/>
  <c r="AG47" i="7"/>
  <c r="AC47" i="7"/>
  <c r="AF47" i="7"/>
  <c r="AI47" i="7"/>
  <c r="AE47" i="7"/>
  <c r="AH47" i="7"/>
  <c r="AD47" i="7"/>
  <c r="AI6" i="7"/>
  <c r="AE6" i="7"/>
  <c r="AH6" i="7"/>
  <c r="AD6" i="7"/>
  <c r="AG6" i="7"/>
  <c r="AC6" i="7"/>
  <c r="AF6" i="7"/>
  <c r="AI160" i="7"/>
  <c r="AE160" i="7"/>
  <c r="AH160" i="7"/>
  <c r="AD160" i="7"/>
  <c r="AG160" i="7"/>
  <c r="AC160" i="7"/>
  <c r="AF160" i="7"/>
  <c r="AF173" i="7"/>
  <c r="AI173" i="7"/>
  <c r="AE173" i="7"/>
  <c r="AG173" i="7"/>
  <c r="AD173" i="7"/>
  <c r="AC173" i="7"/>
  <c r="AH173" i="7"/>
  <c r="AF87" i="7"/>
  <c r="AI87" i="7"/>
  <c r="AE87" i="7"/>
  <c r="AH87" i="7"/>
  <c r="AD87" i="7"/>
  <c r="AG87" i="7"/>
  <c r="AC87" i="7"/>
  <c r="AG35" i="7"/>
  <c r="AC35" i="7"/>
  <c r="AF35" i="7"/>
  <c r="AI35" i="7"/>
  <c r="AE35" i="7"/>
  <c r="AH35" i="7"/>
  <c r="AD35" i="7"/>
  <c r="AI17" i="7"/>
  <c r="AE17" i="7"/>
  <c r="AH17" i="7"/>
  <c r="AD17" i="7"/>
  <c r="AG17" i="7"/>
  <c r="AC17" i="7"/>
  <c r="AF17" i="7"/>
  <c r="AF115" i="7"/>
  <c r="AI115" i="7"/>
  <c r="AE115" i="7"/>
  <c r="AH115" i="7"/>
  <c r="AD115" i="7"/>
  <c r="AG115" i="7"/>
  <c r="AC115" i="7"/>
  <c r="AI57" i="7"/>
  <c r="AE57" i="7"/>
  <c r="AH57" i="7"/>
  <c r="AD57" i="7"/>
  <c r="AG57" i="7"/>
  <c r="AC57" i="7"/>
  <c r="AF57" i="7"/>
  <c r="AF84" i="7"/>
  <c r="AI84" i="7"/>
  <c r="AE84" i="7"/>
  <c r="AH84" i="7"/>
  <c r="AD84" i="7"/>
  <c r="AG84" i="7"/>
  <c r="AC84" i="7"/>
  <c r="AG158" i="7"/>
  <c r="AC158" i="7"/>
  <c r="AF158" i="7"/>
  <c r="AI158" i="7"/>
  <c r="AE158" i="7"/>
  <c r="AH158" i="7"/>
  <c r="AD158" i="7"/>
  <c r="AG207" i="7"/>
  <c r="AC207" i="7"/>
  <c r="AE207" i="7"/>
  <c r="AI207" i="7"/>
  <c r="AD207" i="7"/>
  <c r="AH207" i="7"/>
  <c r="AF207" i="7"/>
  <c r="AH109" i="7"/>
  <c r="AD109" i="7"/>
  <c r="AG109" i="7"/>
  <c r="AC109" i="7"/>
  <c r="AF109" i="7"/>
  <c r="AI109" i="7"/>
  <c r="AE109" i="7"/>
  <c r="AI209" i="7"/>
  <c r="AE209" i="7"/>
  <c r="AH209" i="7"/>
  <c r="AD209" i="7"/>
  <c r="AG209" i="7"/>
  <c r="AF209" i="7"/>
  <c r="AC209" i="7"/>
  <c r="AH208" i="7"/>
  <c r="AD208" i="7"/>
  <c r="AI208" i="7"/>
  <c r="AC208" i="7"/>
  <c r="AG208" i="7"/>
  <c r="AF208" i="7"/>
  <c r="AE208" i="7"/>
  <c r="AG108" i="7"/>
  <c r="AC108" i="7"/>
  <c r="AF108" i="7"/>
  <c r="AI108" i="7"/>
  <c r="AE108" i="7"/>
  <c r="AH108" i="7"/>
  <c r="AD108" i="7"/>
  <c r="AG69" i="7"/>
  <c r="AC69" i="7"/>
  <c r="AI69" i="7"/>
  <c r="AD69" i="7"/>
  <c r="AH69" i="7"/>
  <c r="AF69" i="7"/>
  <c r="AE69" i="7"/>
  <c r="AI184" i="7"/>
  <c r="AE184" i="7"/>
  <c r="AH184" i="7"/>
  <c r="AD184" i="7"/>
  <c r="AG184" i="7"/>
  <c r="AC184" i="7"/>
  <c r="AF184" i="7"/>
  <c r="AF169" i="7"/>
  <c r="AI169" i="7"/>
  <c r="AE169" i="7"/>
  <c r="AH169" i="7"/>
  <c r="AD169" i="7"/>
  <c r="AC169" i="7"/>
  <c r="AG169" i="7"/>
  <c r="AG11" i="7"/>
  <c r="AC11" i="7"/>
  <c r="AF11" i="7"/>
  <c r="AI11" i="7"/>
  <c r="AE11" i="7"/>
  <c r="AH11" i="7"/>
  <c r="AD11" i="7"/>
  <c r="AG88" i="7"/>
  <c r="AC88" i="7"/>
  <c r="AF88" i="7"/>
  <c r="AI88" i="7"/>
  <c r="AE88" i="7"/>
  <c r="AH88" i="7"/>
  <c r="AD88" i="7"/>
  <c r="AH20" i="7"/>
  <c r="AD20" i="7"/>
  <c r="AG20" i="7"/>
  <c r="AC20" i="7"/>
  <c r="AF20" i="7"/>
  <c r="AI20" i="7"/>
  <c r="AE20" i="7"/>
  <c r="AI94" i="7"/>
  <c r="AE94" i="7"/>
  <c r="AH94" i="7"/>
  <c r="AD94" i="7"/>
  <c r="AG94" i="7"/>
  <c r="AC94" i="7"/>
  <c r="AF94" i="7"/>
  <c r="AF46" i="7"/>
  <c r="AI46" i="7"/>
  <c r="AE46" i="7"/>
  <c r="AH46" i="7"/>
  <c r="AD46" i="7"/>
  <c r="AG46" i="7"/>
  <c r="AC46" i="7"/>
  <c r="AG96" i="7"/>
  <c r="AC96" i="7"/>
  <c r="AF96" i="7"/>
  <c r="AI96" i="7"/>
  <c r="AE96" i="7"/>
  <c r="AH96" i="7"/>
  <c r="AD96" i="7"/>
  <c r="AH197" i="7"/>
  <c r="AD197" i="7"/>
  <c r="AG197" i="7"/>
  <c r="AC197" i="7"/>
  <c r="AI197" i="7"/>
  <c r="AF197" i="7"/>
  <c r="AE197" i="7"/>
  <c r="AH224" i="7"/>
  <c r="AD224" i="7"/>
  <c r="AG224" i="7"/>
  <c r="AC224" i="7"/>
  <c r="AI224" i="7"/>
  <c r="AF224" i="7"/>
  <c r="AE224" i="7"/>
  <c r="AG219" i="7"/>
  <c r="AC219" i="7"/>
  <c r="AF219" i="7"/>
  <c r="AH219" i="7"/>
  <c r="AE219" i="7"/>
  <c r="AD219" i="7"/>
  <c r="AI219" i="7"/>
  <c r="AI221" i="7"/>
  <c r="AE221" i="7"/>
  <c r="AH221" i="7"/>
  <c r="AD221" i="7"/>
  <c r="AG221" i="7"/>
  <c r="AF221" i="7"/>
  <c r="AC221" i="7"/>
  <c r="AF210" i="7"/>
  <c r="AI210" i="7"/>
  <c r="AE210" i="7"/>
  <c r="AD210" i="7"/>
  <c r="AC210" i="7"/>
  <c r="AH210" i="7"/>
  <c r="AG210" i="7"/>
  <c r="AG186" i="7"/>
  <c r="AC186" i="7"/>
  <c r="AF186" i="7"/>
  <c r="AI186" i="7"/>
  <c r="AE186" i="7"/>
  <c r="AH186" i="7"/>
  <c r="AD186" i="7"/>
  <c r="AH70" i="7"/>
  <c r="AD70" i="7"/>
  <c r="AG70" i="7"/>
  <c r="AF70" i="7"/>
  <c r="AE70" i="7"/>
  <c r="AI70" i="7"/>
  <c r="AC70" i="7"/>
  <c r="AG55" i="7"/>
  <c r="AC55" i="7"/>
  <c r="AF55" i="7"/>
  <c r="AI55" i="7"/>
  <c r="AE55" i="7"/>
  <c r="AH55" i="7"/>
  <c r="AD55" i="7"/>
  <c r="AG19" i="7"/>
  <c r="AC19" i="7"/>
  <c r="AF19" i="7"/>
  <c r="AI19" i="7"/>
  <c r="AE19" i="7"/>
  <c r="AH19" i="7"/>
  <c r="AD19" i="7"/>
  <c r="AF146" i="7"/>
  <c r="AI146" i="7"/>
  <c r="AG146" i="7"/>
  <c r="AE146" i="7"/>
  <c r="AD146" i="7"/>
  <c r="AH146" i="7"/>
  <c r="AC146" i="7"/>
  <c r="AF26" i="7"/>
  <c r="AI26" i="7"/>
  <c r="AE26" i="7"/>
  <c r="AH26" i="7"/>
  <c r="AD26" i="7"/>
  <c r="AG26" i="7"/>
  <c r="AC26" i="7"/>
  <c r="AF76" i="7"/>
  <c r="AI76" i="7"/>
  <c r="AE76" i="7"/>
  <c r="AD76" i="7"/>
  <c r="AC76" i="7"/>
  <c r="AH76" i="7"/>
  <c r="AG76" i="7"/>
  <c r="AI125" i="7"/>
  <c r="AE125" i="7"/>
  <c r="AG125" i="7"/>
  <c r="AC125" i="7"/>
  <c r="AF125" i="7"/>
  <c r="AH125" i="7"/>
  <c r="AD125" i="7"/>
  <c r="AI190" i="7"/>
  <c r="AE190" i="7"/>
  <c r="AF190" i="7"/>
  <c r="AD190" i="7"/>
  <c r="AH190" i="7"/>
  <c r="AC190" i="7"/>
  <c r="AG190" i="7"/>
  <c r="AH144" i="7"/>
  <c r="AD144" i="7"/>
  <c r="AI144" i="7"/>
  <c r="AC144" i="7"/>
  <c r="AG144" i="7"/>
  <c r="AF144" i="7"/>
  <c r="AE144" i="7"/>
  <c r="AF187" i="7"/>
  <c r="AE187" i="7"/>
  <c r="AI187" i="7"/>
  <c r="AD187" i="7"/>
  <c r="AH187" i="7"/>
  <c r="AC187" i="7"/>
  <c r="AG187" i="7"/>
  <c r="AF177" i="7"/>
  <c r="AI177" i="7"/>
  <c r="AE177" i="7"/>
  <c r="AH177" i="7"/>
  <c r="AD177" i="7"/>
  <c r="AG177" i="7"/>
  <c r="AC177" i="7"/>
  <c r="AG81" i="7"/>
  <c r="AC81" i="7"/>
  <c r="AF81" i="7"/>
  <c r="AH81" i="7"/>
  <c r="AE81" i="7"/>
  <c r="AD81" i="7"/>
  <c r="AI81" i="7"/>
  <c r="AF214" i="7"/>
  <c r="AI214" i="7"/>
  <c r="AE214" i="7"/>
  <c r="AD214" i="7"/>
  <c r="AC214" i="7"/>
  <c r="AH214" i="7"/>
  <c r="AG214" i="7"/>
  <c r="AF218" i="7"/>
  <c r="AI218" i="7"/>
  <c r="AE218" i="7"/>
  <c r="AD218" i="7"/>
  <c r="AC218" i="7"/>
  <c r="AH218" i="7"/>
  <c r="AG218" i="7"/>
  <c r="AF199" i="7"/>
  <c r="AI199" i="7"/>
  <c r="AE199" i="7"/>
  <c r="AG199" i="7"/>
  <c r="AD199" i="7"/>
  <c r="AC199" i="7"/>
  <c r="AH199" i="7"/>
  <c r="AF99" i="7"/>
  <c r="AI99" i="7"/>
  <c r="AD37" i="1" s="1"/>
  <c r="AE99" i="7"/>
  <c r="AH99" i="7"/>
  <c r="AD99" i="7"/>
  <c r="AG99" i="7"/>
  <c r="AB37" i="1" s="1"/>
  <c r="AC99" i="7"/>
  <c r="AG162" i="7"/>
  <c r="AC162" i="7"/>
  <c r="AF162" i="7"/>
  <c r="AI162" i="7"/>
  <c r="AE162" i="7"/>
  <c r="AH162" i="7"/>
  <c r="AD162" i="7"/>
  <c r="AF34" i="7"/>
  <c r="AI34" i="7"/>
  <c r="AE34" i="7"/>
  <c r="AH34" i="7"/>
  <c r="AD34" i="7"/>
  <c r="AG34" i="7"/>
  <c r="AC34" i="7"/>
  <c r="AI49" i="7"/>
  <c r="AE49" i="7"/>
  <c r="AH49" i="7"/>
  <c r="AD49" i="7"/>
  <c r="AG49" i="7"/>
  <c r="AC49" i="7"/>
  <c r="AF49" i="7"/>
  <c r="AH89" i="7"/>
  <c r="AD89" i="7"/>
  <c r="AG89" i="7"/>
  <c r="AC89" i="7"/>
  <c r="AF89" i="7"/>
  <c r="AI89" i="7"/>
  <c r="AE89" i="7"/>
  <c r="AH113" i="7"/>
  <c r="AD113" i="7"/>
  <c r="AG113" i="7"/>
  <c r="AC113" i="7"/>
  <c r="AF113" i="7"/>
  <c r="AI113" i="7"/>
  <c r="AE113" i="7"/>
  <c r="AF107" i="7"/>
  <c r="AI107" i="7"/>
  <c r="AE107" i="7"/>
  <c r="AH107" i="7"/>
  <c r="AD107" i="7"/>
  <c r="AG107" i="7"/>
  <c r="AC107" i="7"/>
  <c r="AH152" i="7"/>
  <c r="AD152" i="7"/>
  <c r="AG152" i="7"/>
  <c r="AC152" i="7"/>
  <c r="AI152" i="7"/>
  <c r="AF152" i="7"/>
  <c r="AE152" i="7"/>
  <c r="AI114" i="7"/>
  <c r="AE114" i="7"/>
  <c r="AH114" i="7"/>
  <c r="AD114" i="7"/>
  <c r="AG114" i="7"/>
  <c r="AC114" i="7"/>
  <c r="AF114" i="7"/>
  <c r="AG116" i="7"/>
  <c r="AC116" i="7"/>
  <c r="AF116" i="7"/>
  <c r="AI116" i="7"/>
  <c r="AE116" i="7"/>
  <c r="AH116" i="7"/>
  <c r="AD116" i="7"/>
  <c r="AH12" i="7"/>
  <c r="AD12" i="7"/>
  <c r="AG12" i="7"/>
  <c r="AF12" i="7"/>
  <c r="AI12" i="7"/>
  <c r="AE12" i="7"/>
  <c r="AI141" i="7"/>
  <c r="AE141" i="7"/>
  <c r="AG141" i="7"/>
  <c r="AF141" i="7"/>
  <c r="AD141" i="7"/>
  <c r="AH141" i="7"/>
  <c r="AC141" i="7"/>
  <c r="AI121" i="7"/>
  <c r="AE121" i="7"/>
  <c r="AF121" i="7"/>
  <c r="AG121" i="7"/>
  <c r="AD121" i="7"/>
  <c r="AC121" i="7"/>
  <c r="AH121" i="7"/>
  <c r="AI176" i="7"/>
  <c r="AE176" i="7"/>
  <c r="AH176" i="7"/>
  <c r="AD176" i="7"/>
  <c r="AG176" i="7"/>
  <c r="AC176" i="7"/>
  <c r="AF176" i="7"/>
  <c r="AI9" i="7"/>
  <c r="AE9" i="7"/>
  <c r="AH9" i="7"/>
  <c r="AD9" i="7"/>
  <c r="AG9" i="7"/>
  <c r="AC9" i="7"/>
  <c r="AF9" i="7"/>
  <c r="AH155" i="7"/>
  <c r="AD155" i="7"/>
  <c r="AG155" i="7"/>
  <c r="AC155" i="7"/>
  <c r="AF155" i="7"/>
  <c r="AI155" i="7"/>
  <c r="AE155" i="7"/>
  <c r="AI137" i="7"/>
  <c r="AE137" i="7"/>
  <c r="AG137" i="7"/>
  <c r="AF137" i="7"/>
  <c r="AD137" i="7"/>
  <c r="AH137" i="7"/>
  <c r="AC137" i="7"/>
  <c r="AG7" i="7"/>
  <c r="AC7" i="7"/>
  <c r="AF7" i="7"/>
  <c r="AI7" i="7"/>
  <c r="AE7" i="7"/>
  <c r="AH7" i="7"/>
  <c r="AD7" i="7"/>
  <c r="AG15" i="7"/>
  <c r="AC15" i="7"/>
  <c r="AF15" i="7"/>
  <c r="AI15" i="7"/>
  <c r="AE15" i="7"/>
  <c r="AH15" i="7"/>
  <c r="AD15" i="7"/>
  <c r="AI225" i="7"/>
  <c r="AE225" i="7"/>
  <c r="AH225" i="7"/>
  <c r="AD225" i="7"/>
  <c r="AF225" i="7"/>
  <c r="AC225" i="7"/>
  <c r="AG225" i="7"/>
  <c r="AI118" i="7"/>
  <c r="AE118" i="7"/>
  <c r="AH118" i="7"/>
  <c r="AD118" i="7"/>
  <c r="AG118" i="7"/>
  <c r="AC118" i="7"/>
  <c r="AF118" i="7"/>
  <c r="AH16" i="7"/>
  <c r="AD16" i="7"/>
  <c r="AG16" i="7"/>
  <c r="AC16" i="7"/>
  <c r="AF16" i="7"/>
  <c r="AI16" i="7"/>
  <c r="AE16" i="7"/>
  <c r="AH36" i="7"/>
  <c r="AD36" i="7"/>
  <c r="AG36" i="7"/>
  <c r="AC36" i="7"/>
  <c r="AF36" i="7"/>
  <c r="AI36" i="7"/>
  <c r="AE36" i="7"/>
  <c r="AF14" i="7"/>
  <c r="AI14" i="7"/>
  <c r="AE14" i="7"/>
  <c r="AH14" i="7"/>
  <c r="AD14" i="7"/>
  <c r="AG14" i="7"/>
  <c r="AC14" i="7"/>
  <c r="AH167" i="7"/>
  <c r="AD167" i="7"/>
  <c r="AG167" i="7"/>
  <c r="AC167" i="7"/>
  <c r="AF167" i="7"/>
  <c r="AI167" i="7"/>
  <c r="AE167" i="7"/>
  <c r="AI25" i="7"/>
  <c r="AE25" i="7"/>
  <c r="AH25" i="7"/>
  <c r="AD25" i="7"/>
  <c r="AG25" i="7"/>
  <c r="AC25" i="7"/>
  <c r="AF25" i="7"/>
  <c r="AG127" i="7"/>
  <c r="AC127" i="7"/>
  <c r="AI127" i="7"/>
  <c r="AE127" i="7"/>
  <c r="AH127" i="7"/>
  <c r="AD127" i="7"/>
  <c r="AF127" i="7"/>
  <c r="AI83" i="7"/>
  <c r="AE83" i="7"/>
  <c r="AH83" i="7"/>
  <c r="AD83" i="7"/>
  <c r="AG83" i="7"/>
  <c r="AC83" i="7"/>
  <c r="AF83" i="7"/>
  <c r="AC39" i="1" a="1"/>
  <c r="AC39" i="1" s="1"/>
  <c r="Z39" i="1" a="1"/>
  <c r="Z39" i="1" s="1"/>
  <c r="Y39" i="1" a="1"/>
  <c r="Y39" i="1" s="1"/>
  <c r="AA37" i="1"/>
  <c r="AB4" i="7"/>
  <c r="AJ124" i="7" l="1"/>
  <c r="AJ127" i="7"/>
  <c r="AJ167" i="7"/>
  <c r="AK167" i="7" s="1"/>
  <c r="AL167" i="7" s="1"/>
  <c r="AJ14" i="7"/>
  <c r="AK14" i="7" s="1"/>
  <c r="AL14" i="7" s="1"/>
  <c r="AJ9" i="7"/>
  <c r="AJ89" i="7"/>
  <c r="AK89" i="7" s="1"/>
  <c r="AL89" i="7" s="1"/>
  <c r="AC37" i="1"/>
  <c r="AC52" i="1" s="1"/>
  <c r="AJ214" i="7"/>
  <c r="AK214" i="7" s="1"/>
  <c r="AL214" i="7" s="1"/>
  <c r="AJ177" i="7"/>
  <c r="AJ187" i="7"/>
  <c r="AJ224" i="7"/>
  <c r="AK224" i="7" s="1"/>
  <c r="AL224" i="7" s="1"/>
  <c r="AJ96" i="7"/>
  <c r="AK96" i="7" s="1"/>
  <c r="AL96" i="7" s="1"/>
  <c r="AJ88" i="7"/>
  <c r="AK88" i="7" s="1"/>
  <c r="AL88" i="7" s="1"/>
  <c r="AJ208" i="7"/>
  <c r="AJ209" i="7"/>
  <c r="AK209" i="7" s="1"/>
  <c r="AL209" i="7" s="1"/>
  <c r="AJ84" i="7"/>
  <c r="AK84" i="7" s="1"/>
  <c r="AL84" i="7" s="1"/>
  <c r="AJ57" i="7"/>
  <c r="AK57" i="7" s="1"/>
  <c r="AL57" i="7" s="1"/>
  <c r="AJ117" i="7"/>
  <c r="AJ161" i="7"/>
  <c r="AK161" i="7" s="1"/>
  <c r="AL161" i="7" s="1"/>
  <c r="AJ153" i="7"/>
  <c r="AK153" i="7" s="1"/>
  <c r="AL153" i="7" s="1"/>
  <c r="AJ172" i="7"/>
  <c r="AJ60" i="7"/>
  <c r="AJ8" i="7"/>
  <c r="AK8" i="7" s="1"/>
  <c r="AL8" i="7" s="1"/>
  <c r="AJ175" i="7"/>
  <c r="AK175" i="7" s="1"/>
  <c r="AL175" i="7" s="1"/>
  <c r="AJ130" i="7"/>
  <c r="AK130" i="7" s="1"/>
  <c r="AL130" i="7" s="1"/>
  <c r="AJ5" i="7"/>
  <c r="AJ18" i="7"/>
  <c r="AK18" i="7" s="1"/>
  <c r="AL18" i="7" s="1"/>
  <c r="AJ215" i="7"/>
  <c r="AK215" i="7" s="1"/>
  <c r="AL215" i="7" s="1"/>
  <c r="AJ65" i="7"/>
  <c r="AK65" i="7" s="1"/>
  <c r="AL65" i="7" s="1"/>
  <c r="AJ78" i="7"/>
  <c r="AJ122" i="7"/>
  <c r="AK122" i="7" s="1"/>
  <c r="AL122" i="7" s="1"/>
  <c r="AJ159" i="7"/>
  <c r="AK159" i="7" s="1"/>
  <c r="AL159" i="7" s="1"/>
  <c r="AJ165" i="7"/>
  <c r="AK165" i="7" s="1"/>
  <c r="AL165" i="7" s="1"/>
  <c r="AJ191" i="7"/>
  <c r="AJ181" i="7"/>
  <c r="AK181" i="7" s="1"/>
  <c r="AL181" i="7" s="1"/>
  <c r="AJ185" i="7"/>
  <c r="AK185" i="7" s="1"/>
  <c r="AL185" i="7" s="1"/>
  <c r="AJ164" i="7"/>
  <c r="AJ63" i="7"/>
  <c r="AJ91" i="7"/>
  <c r="AK91" i="7" s="1"/>
  <c r="AL91" i="7" s="1"/>
  <c r="AJ204" i="7"/>
  <c r="AK204" i="7" s="1"/>
  <c r="AL204" i="7" s="1"/>
  <c r="AJ75" i="7"/>
  <c r="AK75" i="7" s="1"/>
  <c r="AL75" i="7" s="1"/>
  <c r="AJ21" i="7"/>
  <c r="AJ15" i="7"/>
  <c r="AK15" i="7" s="1"/>
  <c r="AL15" i="7" s="1"/>
  <c r="AJ16" i="7"/>
  <c r="AK16" i="7" s="1"/>
  <c r="AL16" i="7" s="1"/>
  <c r="AJ225" i="7"/>
  <c r="AK225" i="7" s="1"/>
  <c r="AL225" i="7" s="1"/>
  <c r="AJ99" i="7"/>
  <c r="AJ76" i="7"/>
  <c r="AK76" i="7" s="1"/>
  <c r="AL76" i="7" s="1"/>
  <c r="AJ146" i="7"/>
  <c r="AK146" i="7" s="1"/>
  <c r="AL146" i="7" s="1"/>
  <c r="AJ19" i="7"/>
  <c r="AK19" i="7" s="1"/>
  <c r="AL19" i="7" s="1"/>
  <c r="AJ184" i="7"/>
  <c r="AJ35" i="7"/>
  <c r="AK35" i="7" s="1"/>
  <c r="AL35" i="7" s="1"/>
  <c r="AJ80" i="7"/>
  <c r="AK80" i="7" s="1"/>
  <c r="AL80" i="7" s="1"/>
  <c r="AJ22" i="7"/>
  <c r="AK22" i="7" s="1"/>
  <c r="AL22" i="7" s="1"/>
  <c r="AJ61" i="7"/>
  <c r="AJ40" i="7"/>
  <c r="AK40" i="7" s="1"/>
  <c r="AL40" i="7" s="1"/>
  <c r="AJ112" i="7"/>
  <c r="AK112" i="7" s="1"/>
  <c r="AL112" i="7" s="1"/>
  <c r="AJ31" i="7"/>
  <c r="AJ220" i="7"/>
  <c r="AK220" i="7" s="1"/>
  <c r="AL220" i="7" s="1"/>
  <c r="AJ123" i="7"/>
  <c r="AK123" i="7" s="1"/>
  <c r="AL123" i="7" s="1"/>
  <c r="AJ58" i="7"/>
  <c r="AK58" i="7" s="1"/>
  <c r="AL58" i="7" s="1"/>
  <c r="AJ36" i="7"/>
  <c r="AK36" i="7" s="1"/>
  <c r="AL36" i="7" s="1"/>
  <c r="AJ118" i="7"/>
  <c r="AK118" i="7" s="1"/>
  <c r="AL118" i="7" s="1"/>
  <c r="AJ121" i="7"/>
  <c r="AK121" i="7" s="1"/>
  <c r="AL121" i="7" s="1"/>
  <c r="AJ12" i="7"/>
  <c r="AK12" i="7" s="1"/>
  <c r="AL12" i="7" s="1"/>
  <c r="AJ114" i="7"/>
  <c r="AK114" i="7" s="1"/>
  <c r="AL114" i="7" s="1"/>
  <c r="AJ81" i="7"/>
  <c r="AJ190" i="7"/>
  <c r="AK190" i="7" s="1"/>
  <c r="AL190" i="7" s="1"/>
  <c r="AJ26" i="7"/>
  <c r="AK26" i="7" s="1"/>
  <c r="AL26" i="7" s="1"/>
  <c r="AJ70" i="7"/>
  <c r="AK70" i="7" s="1"/>
  <c r="AL70" i="7" s="1"/>
  <c r="AJ186" i="7"/>
  <c r="AJ210" i="7"/>
  <c r="AK210" i="7" s="1"/>
  <c r="AL210" i="7" s="1"/>
  <c r="AJ46" i="7"/>
  <c r="AK46" i="7" s="1"/>
  <c r="AL46" i="7" s="1"/>
  <c r="AJ94" i="7"/>
  <c r="AJ169" i="7"/>
  <c r="AK169" i="7" s="1"/>
  <c r="AL169" i="7" s="1"/>
  <c r="AJ109" i="7"/>
  <c r="AK109" i="7" s="1"/>
  <c r="AL109" i="7" s="1"/>
  <c r="AJ158" i="7"/>
  <c r="AK158" i="7" s="1"/>
  <c r="AL158" i="7" s="1"/>
  <c r="AJ115" i="7"/>
  <c r="AJ17" i="7"/>
  <c r="AK17" i="7" s="1"/>
  <c r="AL17" i="7" s="1"/>
  <c r="AJ160" i="7"/>
  <c r="AK160" i="7" s="1"/>
  <c r="AL160" i="7" s="1"/>
  <c r="AJ29" i="7"/>
  <c r="AK29" i="7" s="1"/>
  <c r="AL29" i="7" s="1"/>
  <c r="AJ42" i="7"/>
  <c r="AJ79" i="7"/>
  <c r="AJ71" i="7"/>
  <c r="AK71" i="7" s="1"/>
  <c r="AL71" i="7" s="1"/>
  <c r="AJ33" i="7"/>
  <c r="AK33" i="7" s="1"/>
  <c r="AL33" i="7" s="1"/>
  <c r="AJ135" i="7"/>
  <c r="AK135" i="7" s="1"/>
  <c r="AL135" i="7" s="1"/>
  <c r="AJ101" i="7"/>
  <c r="AK101" i="7" s="1"/>
  <c r="AL101" i="7" s="1"/>
  <c r="AJ72" i="7"/>
  <c r="AK72" i="7" s="1"/>
  <c r="AL72" i="7" s="1"/>
  <c r="AJ163" i="7"/>
  <c r="AK163" i="7" s="1"/>
  <c r="AL163" i="7" s="1"/>
  <c r="AJ217" i="7"/>
  <c r="AK217" i="7" s="1"/>
  <c r="AL217" i="7" s="1"/>
  <c r="AJ189" i="7"/>
  <c r="AJ54" i="7"/>
  <c r="AK54" i="7" s="1"/>
  <c r="AL54" i="7" s="1"/>
  <c r="AJ178" i="7"/>
  <c r="AK178" i="7" s="1"/>
  <c r="AL178" i="7" s="1"/>
  <c r="AJ203" i="7"/>
  <c r="AK203" i="7" s="1"/>
  <c r="AL203" i="7" s="1"/>
  <c r="AJ105" i="7"/>
  <c r="AJ28" i="7"/>
  <c r="AK28" i="7" s="1"/>
  <c r="AL28" i="7" s="1"/>
  <c r="AJ95" i="7"/>
  <c r="AK95" i="7" s="1"/>
  <c r="AL95" i="7" s="1"/>
  <c r="AJ149" i="7"/>
  <c r="AK149" i="7" s="1"/>
  <c r="AL149" i="7" s="1"/>
  <c r="AJ37" i="7"/>
  <c r="AK37" i="7" s="1"/>
  <c r="AL37" i="7" s="1"/>
  <c r="AJ202" i="7"/>
  <c r="AK202" i="7" s="1"/>
  <c r="AL202" i="7" s="1"/>
  <c r="AJ151" i="7"/>
  <c r="AK151" i="7" s="1"/>
  <c r="AL151" i="7" s="1"/>
  <c r="AJ52" i="7"/>
  <c r="AK52" i="7" s="1"/>
  <c r="AL52" i="7" s="1"/>
  <c r="AJ138" i="7"/>
  <c r="AJ110" i="7"/>
  <c r="AK110" i="7" s="1"/>
  <c r="AL110" i="7" s="1"/>
  <c r="AJ82" i="7"/>
  <c r="AK82" i="7" s="1"/>
  <c r="AL82" i="7" s="1"/>
  <c r="AJ126" i="7"/>
  <c r="AJ213" i="7"/>
  <c r="AJ24" i="7"/>
  <c r="AK24" i="7" s="1"/>
  <c r="AL24" i="7" s="1"/>
  <c r="AJ41" i="7"/>
  <c r="AK41" i="7" s="1"/>
  <c r="AL41" i="7" s="1"/>
  <c r="AJ13" i="7"/>
  <c r="AK13" i="7" s="1"/>
  <c r="AL13" i="7" s="1"/>
  <c r="AJ129" i="7"/>
  <c r="AJ32" i="7"/>
  <c r="AK32" i="7" s="1"/>
  <c r="AL32" i="7" s="1"/>
  <c r="AJ39" i="7"/>
  <c r="AK39" i="7" s="1"/>
  <c r="AL39" i="7" s="1"/>
  <c r="AJ141" i="7"/>
  <c r="AK141" i="7" s="1"/>
  <c r="AL141" i="7" s="1"/>
  <c r="AJ83" i="7"/>
  <c r="AJ113" i="7"/>
  <c r="AK113" i="7" s="1"/>
  <c r="AL113" i="7" s="1"/>
  <c r="AJ199" i="7"/>
  <c r="AK199" i="7" s="1"/>
  <c r="AL199" i="7" s="1"/>
  <c r="AJ6" i="7"/>
  <c r="AJ90" i="7"/>
  <c r="AJ150" i="7"/>
  <c r="AK150" i="7" s="1"/>
  <c r="AL150" i="7" s="1"/>
  <c r="AJ192" i="7"/>
  <c r="AK192" i="7" s="1"/>
  <c r="AL192" i="7" s="1"/>
  <c r="AJ154" i="7"/>
  <c r="AJ48" i="7"/>
  <c r="AJ62" i="7"/>
  <c r="AK62" i="7" s="1"/>
  <c r="AL62" i="7" s="1"/>
  <c r="AJ92" i="7"/>
  <c r="AK92" i="7" s="1"/>
  <c r="AL92" i="7" s="1"/>
  <c r="AJ196" i="7"/>
  <c r="AK196" i="7" s="1"/>
  <c r="AL196" i="7" s="1"/>
  <c r="X37" i="1"/>
  <c r="X44" i="1" s="1"/>
  <c r="AJ25" i="7"/>
  <c r="AK25" i="7" s="1"/>
  <c r="AL25" i="7" s="1"/>
  <c r="AJ7" i="7"/>
  <c r="AK7" i="7" s="1"/>
  <c r="AL7" i="7" s="1"/>
  <c r="AJ155" i="7"/>
  <c r="AJ176" i="7"/>
  <c r="AK176" i="7" s="1"/>
  <c r="AL176" i="7" s="1"/>
  <c r="AJ116" i="7"/>
  <c r="AK116" i="7" s="1"/>
  <c r="AL116" i="7" s="1"/>
  <c r="AJ152" i="7"/>
  <c r="AK152" i="7" s="1"/>
  <c r="AL152" i="7" s="1"/>
  <c r="AJ107" i="7"/>
  <c r="AK107" i="7" s="1"/>
  <c r="AL107" i="7" s="1"/>
  <c r="AJ34" i="7"/>
  <c r="AK34" i="7" s="1"/>
  <c r="AL34" i="7" s="1"/>
  <c r="AJ162" i="7"/>
  <c r="AK162" i="7" s="1"/>
  <c r="AL162" i="7" s="1"/>
  <c r="AJ125" i="7"/>
  <c r="AK125" i="7" s="1"/>
  <c r="AL125" i="7" s="1"/>
  <c r="AJ221" i="7"/>
  <c r="AK221" i="7" s="1"/>
  <c r="AL221" i="7" s="1"/>
  <c r="AJ219" i="7"/>
  <c r="AK219" i="7" s="1"/>
  <c r="AL219" i="7" s="1"/>
  <c r="AJ197" i="7"/>
  <c r="AK197" i="7" s="1"/>
  <c r="AL197" i="7" s="1"/>
  <c r="AJ20" i="7"/>
  <c r="AK20" i="7" s="1"/>
  <c r="AL20" i="7" s="1"/>
  <c r="AJ11" i="7"/>
  <c r="AK11" i="7" s="1"/>
  <c r="AL11" i="7" s="1"/>
  <c r="AJ108" i="7"/>
  <c r="AK108" i="7" s="1"/>
  <c r="AL108" i="7" s="1"/>
  <c r="AJ207" i="7"/>
  <c r="AK207" i="7" s="1"/>
  <c r="AL207" i="7" s="1"/>
  <c r="AJ87" i="7"/>
  <c r="AK87" i="7" s="1"/>
  <c r="AL87" i="7" s="1"/>
  <c r="AJ173" i="7"/>
  <c r="AK173" i="7" s="1"/>
  <c r="AL173" i="7" s="1"/>
  <c r="AJ180" i="7"/>
  <c r="AJ53" i="7"/>
  <c r="AK53" i="7" s="1"/>
  <c r="AL53" i="7" s="1"/>
  <c r="AJ77" i="7"/>
  <c r="AK77" i="7" s="1"/>
  <c r="AL77" i="7" s="1"/>
  <c r="AJ100" i="7"/>
  <c r="AK100" i="7" s="1"/>
  <c r="AL100" i="7" s="1"/>
  <c r="AJ222" i="7"/>
  <c r="AJ201" i="7"/>
  <c r="AK201" i="7" s="1"/>
  <c r="AL201" i="7" s="1"/>
  <c r="AJ200" i="7"/>
  <c r="AK200" i="7" s="1"/>
  <c r="AL200" i="7" s="1"/>
  <c r="AJ134" i="7"/>
  <c r="AK134" i="7" s="1"/>
  <c r="AL134" i="7" s="1"/>
  <c r="AJ195" i="7"/>
  <c r="AJ142" i="7"/>
  <c r="AK142" i="7" s="1"/>
  <c r="AL142" i="7" s="1"/>
  <c r="AJ136" i="7"/>
  <c r="AK136" i="7" s="1"/>
  <c r="AL136" i="7" s="1"/>
  <c r="AJ73" i="7"/>
  <c r="AK73" i="7" s="1"/>
  <c r="AL73" i="7" s="1"/>
  <c r="AJ86" i="7"/>
  <c r="AJ194" i="7"/>
  <c r="AK194" i="7" s="1"/>
  <c r="AL194" i="7" s="1"/>
  <c r="AJ45" i="7"/>
  <c r="AK45" i="7" s="1"/>
  <c r="AL45" i="7" s="1"/>
  <c r="AJ179" i="7"/>
  <c r="AK179" i="7" s="1"/>
  <c r="AL179" i="7" s="1"/>
  <c r="AJ120" i="7"/>
  <c r="AK120" i="7" s="1"/>
  <c r="AL120" i="7" s="1"/>
  <c r="AJ119" i="7"/>
  <c r="AK119" i="7" s="1"/>
  <c r="AL119" i="7" s="1"/>
  <c r="AJ139" i="7"/>
  <c r="AK139" i="7" s="1"/>
  <c r="AL139" i="7" s="1"/>
  <c r="AJ140" i="7"/>
  <c r="AJ67" i="7"/>
  <c r="AK67" i="7" s="1"/>
  <c r="AL67" i="7" s="1"/>
  <c r="AJ30" i="7"/>
  <c r="AK30" i="7" s="1"/>
  <c r="AL30" i="7" s="1"/>
  <c r="AJ143" i="7"/>
  <c r="AK143" i="7" s="1"/>
  <c r="AL143" i="7" s="1"/>
  <c r="AJ38" i="7"/>
  <c r="AJ166" i="7"/>
  <c r="AK166" i="7" s="1"/>
  <c r="AL166" i="7" s="1"/>
  <c r="AJ103" i="7"/>
  <c r="AK103" i="7" s="1"/>
  <c r="AL103" i="7" s="1"/>
  <c r="AJ145" i="7"/>
  <c r="AK145" i="7" s="1"/>
  <c r="AL145" i="7" s="1"/>
  <c r="AJ182" i="7"/>
  <c r="AK182" i="7" s="1"/>
  <c r="AL182" i="7" s="1"/>
  <c r="AJ56" i="7"/>
  <c r="AJ74" i="7"/>
  <c r="AK74" i="7" s="1"/>
  <c r="AL74" i="7" s="1"/>
  <c r="AJ23" i="7"/>
  <c r="AK23" i="7" s="1"/>
  <c r="AL23" i="7" s="1"/>
  <c r="AJ102" i="7"/>
  <c r="AK102" i="7" s="1"/>
  <c r="AL102" i="7" s="1"/>
  <c r="AJ193" i="7"/>
  <c r="AJ104" i="7"/>
  <c r="AK104" i="7" s="1"/>
  <c r="AL104" i="7" s="1"/>
  <c r="AJ132" i="7"/>
  <c r="AK132" i="7" s="1"/>
  <c r="AL132" i="7" s="1"/>
  <c r="AJ156" i="7"/>
  <c r="AK156" i="7" s="1"/>
  <c r="AL156" i="7" s="1"/>
  <c r="AJ43" i="7"/>
  <c r="AK43" i="7" s="1"/>
  <c r="AL43" i="7" s="1"/>
  <c r="AJ47" i="7"/>
  <c r="AK47" i="7" s="1"/>
  <c r="AL47" i="7" s="1"/>
  <c r="AJ147" i="7"/>
  <c r="AK147" i="7" s="1"/>
  <c r="AL147" i="7" s="1"/>
  <c r="AJ59" i="7"/>
  <c r="AK59" i="7" s="1"/>
  <c r="AL59" i="7" s="1"/>
  <c r="AJ223" i="7"/>
  <c r="AK223" i="7" s="1"/>
  <c r="AL223" i="7" s="1"/>
  <c r="AJ51" i="7"/>
  <c r="AK51" i="7" s="1"/>
  <c r="AL51" i="7" s="1"/>
  <c r="AJ171" i="7"/>
  <c r="AK171" i="7" s="1"/>
  <c r="AL171" i="7" s="1"/>
  <c r="AJ174" i="7"/>
  <c r="AJ106" i="7"/>
  <c r="AK106" i="7" s="1"/>
  <c r="AL106" i="7" s="1"/>
  <c r="AJ205" i="7"/>
  <c r="AK205" i="7" s="1"/>
  <c r="AL205" i="7" s="1"/>
  <c r="AJ212" i="7"/>
  <c r="AK212" i="7" s="1"/>
  <c r="AL212" i="7" s="1"/>
  <c r="AJ157" i="7"/>
  <c r="AK157" i="7" s="1"/>
  <c r="AL157" i="7" s="1"/>
  <c r="AJ198" i="7"/>
  <c r="AK198" i="7" s="1"/>
  <c r="AL198" i="7" s="1"/>
  <c r="AJ44" i="7"/>
  <c r="AK44" i="7" s="1"/>
  <c r="AL44" i="7" s="1"/>
  <c r="AJ97" i="7"/>
  <c r="AK97" i="7" s="1"/>
  <c r="AL97" i="7" s="1"/>
  <c r="AJ27" i="7"/>
  <c r="AK27" i="7" s="1"/>
  <c r="AL27" i="7" s="1"/>
  <c r="AJ226" i="7"/>
  <c r="AK226" i="7" s="1"/>
  <c r="AL226" i="7" s="1"/>
  <c r="AJ188" i="7"/>
  <c r="AK188" i="7" s="1"/>
  <c r="AL188" i="7" s="1"/>
  <c r="AJ66" i="7"/>
  <c r="AK66" i="7" s="1"/>
  <c r="AL66" i="7" s="1"/>
  <c r="AJ206" i="7"/>
  <c r="AK206" i="7" s="1"/>
  <c r="AL206" i="7" s="1"/>
  <c r="AJ128" i="7"/>
  <c r="AK128" i="7" s="1"/>
  <c r="AL128" i="7" s="1"/>
  <c r="AJ10" i="7"/>
  <c r="AK10" i="7" s="1"/>
  <c r="AL10" i="7" s="1"/>
  <c r="AJ183" i="7"/>
  <c r="AK183" i="7" s="1"/>
  <c r="AL183" i="7" s="1"/>
  <c r="AJ211" i="7"/>
  <c r="AJ216" i="7"/>
  <c r="AK216" i="7" s="1"/>
  <c r="AL216" i="7" s="1"/>
  <c r="AJ68" i="7"/>
  <c r="AK68" i="7" s="1"/>
  <c r="AL68" i="7" s="1"/>
  <c r="AJ170" i="7"/>
  <c r="AK170" i="7" s="1"/>
  <c r="AL170" i="7" s="1"/>
  <c r="AJ93" i="7"/>
  <c r="AK93" i="7" s="1"/>
  <c r="AL93" i="7" s="1"/>
  <c r="AJ111" i="7"/>
  <c r="AK111" i="7" s="1"/>
  <c r="AL111" i="7" s="1"/>
  <c r="AJ85" i="7"/>
  <c r="AK85" i="7" s="1"/>
  <c r="AL85" i="7" s="1"/>
  <c r="AJ64" i="7"/>
  <c r="AK64" i="7" s="1"/>
  <c r="AL64" i="7" s="1"/>
  <c r="AJ148" i="7"/>
  <c r="AK148" i="7" s="1"/>
  <c r="AL148" i="7" s="1"/>
  <c r="AJ131" i="7"/>
  <c r="AK131" i="7" s="1"/>
  <c r="AL131" i="7" s="1"/>
  <c r="AJ50" i="7"/>
  <c r="AK50" i="7" s="1"/>
  <c r="AL50" i="7" s="1"/>
  <c r="AJ98" i="7"/>
  <c r="AK98" i="7" s="1"/>
  <c r="AL98" i="7" s="1"/>
  <c r="AJ168" i="7"/>
  <c r="AK168" i="7" s="1"/>
  <c r="AL168" i="7" s="1"/>
  <c r="AJ55" i="7"/>
  <c r="AK55" i="7" s="1"/>
  <c r="AL55" i="7" s="1"/>
  <c r="AJ69" i="7"/>
  <c r="AK69" i="7" s="1"/>
  <c r="AL69" i="7" s="1"/>
  <c r="AG4" i="7"/>
  <c r="AC4" i="7"/>
  <c r="AF4" i="7"/>
  <c r="AE4" i="7"/>
  <c r="AH4" i="7"/>
  <c r="AD4" i="7"/>
  <c r="AI4" i="7"/>
  <c r="AJ137" i="7"/>
  <c r="AK137" i="7" s="1"/>
  <c r="AL137" i="7" s="1"/>
  <c r="AJ49" i="7"/>
  <c r="AK49" i="7" s="1"/>
  <c r="AL49" i="7" s="1"/>
  <c r="AJ218" i="7"/>
  <c r="AK218" i="7" s="1"/>
  <c r="AL218" i="7" s="1"/>
  <c r="AJ144" i="7"/>
  <c r="AK144" i="7" s="1"/>
  <c r="AL144" i="7" s="1"/>
  <c r="AJ133" i="7"/>
  <c r="AK133" i="7" s="1"/>
  <c r="AL133" i="7" s="1"/>
  <c r="AB56" i="1"/>
  <c r="AB48" i="1"/>
  <c r="AB52" i="1"/>
  <c r="AB44" i="1"/>
  <c r="AB60" i="1"/>
  <c r="AD60" i="1"/>
  <c r="AD52" i="1"/>
  <c r="AD44" i="1"/>
  <c r="AD56" i="1"/>
  <c r="AD48" i="1"/>
  <c r="AA60" i="1"/>
  <c r="AA52" i="1"/>
  <c r="AA44" i="1"/>
  <c r="AA56" i="1"/>
  <c r="AA48" i="1"/>
  <c r="Z37" i="1"/>
  <c r="Y37" i="1"/>
  <c r="AK140" i="7"/>
  <c r="AL140" i="7" s="1"/>
  <c r="AK164" i="7"/>
  <c r="AL164" i="7" s="1"/>
  <c r="AK117" i="7"/>
  <c r="AL117" i="7" s="1"/>
  <c r="AK60" i="7"/>
  <c r="AL60" i="7" s="1"/>
  <c r="AK184" i="7"/>
  <c r="AL184" i="7" s="1"/>
  <c r="AK129" i="7"/>
  <c r="AL129" i="7" s="1"/>
  <c r="AK48" i="7"/>
  <c r="AL48" i="7" s="1"/>
  <c r="AK115" i="7"/>
  <c r="AL115" i="7" s="1"/>
  <c r="AK21" i="7"/>
  <c r="AL21" i="7" s="1"/>
  <c r="AK191" i="7"/>
  <c r="AL191" i="7" s="1"/>
  <c r="AK126" i="7"/>
  <c r="AL126" i="7" s="1"/>
  <c r="AK99" i="7"/>
  <c r="AL99" i="7" s="1"/>
  <c r="AK81" i="7"/>
  <c r="AL81" i="7" s="1"/>
  <c r="AK186" i="7"/>
  <c r="AL186" i="7" s="1"/>
  <c r="AK94" i="7"/>
  <c r="AL94" i="7" s="1"/>
  <c r="AK127" i="7"/>
  <c r="AL127" i="7" s="1"/>
  <c r="AK9" i="7"/>
  <c r="AL9" i="7" s="1"/>
  <c r="AK154" i="7"/>
  <c r="AL154" i="7" s="1"/>
  <c r="AK6" i="7"/>
  <c r="AL6" i="7" s="1"/>
  <c r="AK78" i="7"/>
  <c r="AL78" i="7" s="1"/>
  <c r="AK213" i="7"/>
  <c r="AL213" i="7" s="1"/>
  <c r="AK61" i="7"/>
  <c r="AL61" i="7" s="1"/>
  <c r="AK5" i="7"/>
  <c r="AL5" i="7" s="1"/>
  <c r="AK177" i="7"/>
  <c r="AL177" i="7" s="1"/>
  <c r="AK172" i="7"/>
  <c r="AL172" i="7" s="1"/>
  <c r="AK38" i="7"/>
  <c r="AL38" i="7" s="1"/>
  <c r="AK180" i="7"/>
  <c r="AL180" i="7" s="1"/>
  <c r="AK90" i="7"/>
  <c r="AL90" i="7" s="1"/>
  <c r="AK63" i="7"/>
  <c r="AL63" i="7" s="1"/>
  <c r="AK56" i="7"/>
  <c r="AL56" i="7" s="1"/>
  <c r="AK193" i="7"/>
  <c r="AL193" i="7" s="1"/>
  <c r="AK86" i="7"/>
  <c r="AL86" i="7" s="1"/>
  <c r="AK211" i="7"/>
  <c r="AL211" i="7" s="1"/>
  <c r="AK105" i="7"/>
  <c r="AL105" i="7" s="1"/>
  <c r="AK83" i="7"/>
  <c r="AL83" i="7" s="1"/>
  <c r="AK155" i="7"/>
  <c r="AL155" i="7" s="1"/>
  <c r="AK187" i="7"/>
  <c r="AL187" i="7" s="1"/>
  <c r="AK42" i="7"/>
  <c r="AL42" i="7" s="1"/>
  <c r="AK79" i="7"/>
  <c r="AL79" i="7" s="1"/>
  <c r="AK31" i="7"/>
  <c r="AL31" i="7" s="1"/>
  <c r="AK208" i="7"/>
  <c r="AL208" i="7" s="1"/>
  <c r="AK222" i="7"/>
  <c r="AL222" i="7" s="1"/>
  <c r="AK174" i="7"/>
  <c r="AL174" i="7" s="1"/>
  <c r="AK189" i="7"/>
  <c r="AL189" i="7" s="1"/>
  <c r="AK195" i="7"/>
  <c r="AL195" i="7" s="1"/>
  <c r="AK124" i="7"/>
  <c r="AL124" i="7" s="1"/>
  <c r="AK138" i="7"/>
  <c r="AL138" i="7" s="1"/>
  <c r="AC60" i="1" l="1"/>
  <c r="AC48" i="1"/>
  <c r="AC44" i="1"/>
  <c r="AC56" i="1"/>
  <c r="X52" i="1"/>
  <c r="X48" i="1"/>
  <c r="X56" i="1"/>
  <c r="X60" i="1"/>
  <c r="AJ4" i="7"/>
  <c r="AK4" i="7" s="1"/>
  <c r="AL4" i="7" s="1"/>
  <c r="Z60" i="1"/>
  <c r="Z52" i="1"/>
  <c r="Z44" i="1"/>
  <c r="Z56" i="1"/>
  <c r="Z48" i="1"/>
  <c r="Y60" i="1"/>
  <c r="Y56" i="1"/>
  <c r="Y48" i="1"/>
  <c r="Y52" i="1"/>
  <c r="Y44" i="1"/>
  <c r="AE37" i="1"/>
  <c r="AQ16" i="1"/>
  <c r="AF60" i="1" l="1"/>
  <c r="AF48" i="1"/>
  <c r="AF44" i="1"/>
  <c r="AF52" i="1"/>
  <c r="AF56" i="1"/>
  <c r="AQ18" i="1"/>
  <c r="AN51" i="1" l="1" a="1"/>
  <c r="AN51" i="1" s="1"/>
  <c r="AN43" i="1" a="1"/>
  <c r="AN43" i="1" s="1"/>
  <c r="AN47" i="1" a="1"/>
  <c r="AN47" i="1" s="1"/>
  <c r="AN55" i="1" a="1"/>
  <c r="AN55" i="1" s="1"/>
  <c r="AN59" i="1" a="1"/>
  <c r="AN59" i="1" s="1"/>
  <c r="AL59" i="1"/>
  <c r="AL47" i="1"/>
  <c r="AL55" i="1"/>
  <c r="AL43" i="1"/>
  <c r="AL51" i="1"/>
  <c r="AK13" i="1"/>
  <c r="AK15" i="1" s="1"/>
  <c r="S4" i="4" a="1"/>
  <c r="S4" i="4" s="1"/>
  <c r="S11" i="4" a="1"/>
  <c r="S11" i="4" s="1"/>
  <c r="AK32" i="1"/>
  <c r="O4" i="4" a="1"/>
  <c r="O4" i="4" s="1"/>
  <c r="AK26" i="1"/>
  <c r="S7" i="4" l="1"/>
  <c r="S5" i="4"/>
  <c r="S6" i="4"/>
  <c r="S16" i="4"/>
  <c r="S13" i="4"/>
  <c r="S12" i="4"/>
  <c r="S14" i="4"/>
  <c r="S15" i="4"/>
  <c r="I18" i="1"/>
  <c r="J27" i="1"/>
  <c r="I37" i="1"/>
  <c r="M37" i="1"/>
  <c r="J37" i="1"/>
  <c r="I27" i="1"/>
  <c r="H37" i="1"/>
  <c r="L37" i="1"/>
  <c r="F18" i="1"/>
  <c r="D13" i="1" s="1"/>
  <c r="AN13" i="1" s="1"/>
  <c r="G27" i="1"/>
  <c r="K27" i="1"/>
  <c r="G18" i="1"/>
  <c r="H27" i="1"/>
  <c r="L27" i="1"/>
  <c r="G37" i="1"/>
  <c r="K37" i="1"/>
  <c r="H18" i="1"/>
  <c r="O32" i="1" s="1"/>
  <c r="M27" i="1"/>
  <c r="K31" i="1" l="1"/>
  <c r="K28" i="1"/>
  <c r="K36" i="1" s="1" a="1"/>
  <c r="K36" i="1" s="1"/>
  <c r="K39" i="1" s="1" a="1"/>
  <c r="K39" i="1" s="1"/>
  <c r="M31" i="1"/>
  <c r="M28" i="1"/>
  <c r="L31" i="1"/>
  <c r="L28" i="1"/>
  <c r="G31" i="1"/>
  <c r="G28" i="1"/>
  <c r="G36" i="1" s="1" a="1"/>
  <c r="G36" i="1" s="1"/>
  <c r="G39" i="1" s="1" a="1"/>
  <c r="G39" i="1" s="1"/>
  <c r="I31" i="1"/>
  <c r="I28" i="1"/>
  <c r="J31" i="1"/>
  <c r="J28" i="1"/>
  <c r="J36" i="1" s="1" a="1"/>
  <c r="J36" i="1" s="1"/>
  <c r="J39" i="1" s="1" a="1"/>
  <c r="J39" i="1" s="1"/>
  <c r="H31" i="1"/>
  <c r="H28" i="1"/>
  <c r="G32" i="1" a="1"/>
  <c r="G32" i="1" s="1"/>
  <c r="N37" i="1"/>
  <c r="AM19" i="1"/>
  <c r="L32" i="1" a="1"/>
  <c r="L32" i="1" s="1"/>
  <c r="K32" i="1" a="1"/>
  <c r="K32" i="1" s="1"/>
  <c r="I32" i="1" a="1"/>
  <c r="I32" i="1" s="1"/>
  <c r="J32" i="1" a="1"/>
  <c r="J32" i="1" s="1"/>
  <c r="M32" i="1" a="1"/>
  <c r="M32" i="1" s="1"/>
  <c r="H32" i="1" a="1"/>
  <c r="H32" i="1" s="1"/>
  <c r="AM16" i="1"/>
  <c r="AM21" i="1" s="1" a="1"/>
  <c r="AM21" i="1" s="1"/>
  <c r="K34" i="1"/>
  <c r="M34" i="1"/>
  <c r="L34" i="1"/>
  <c r="G34" i="1"/>
  <c r="I34" i="1"/>
  <c r="I36" i="1" a="1"/>
  <c r="I36" i="1" s="1"/>
  <c r="I39" i="1" s="1" a="1"/>
  <c r="I39" i="1" s="1"/>
  <c r="J34" i="1"/>
  <c r="AM17" i="1"/>
  <c r="AM22" i="1" s="1" a="1"/>
  <c r="AM22" i="1" s="1"/>
  <c r="H34" i="1"/>
  <c r="AK29" i="1" l="1"/>
  <c r="K35" i="1" a="1"/>
  <c r="K35" i="1" s="1"/>
  <c r="H36" i="1" a="1"/>
  <c r="H36" i="1" s="1"/>
  <c r="H39" i="1" s="1" a="1"/>
  <c r="H39" i="1" s="1"/>
  <c r="L36" i="1" a="1"/>
  <c r="L36" i="1" s="1"/>
  <c r="L39" i="1" s="1" a="1"/>
  <c r="L39" i="1" s="1"/>
  <c r="M36" i="1" a="1"/>
  <c r="M36" i="1" s="1"/>
  <c r="M39" i="1" s="1" a="1"/>
  <c r="M39" i="1" s="1"/>
  <c r="H35" i="1" a="1"/>
  <c r="H35" i="1" s="1"/>
  <c r="I35" i="1" a="1"/>
  <c r="I35" i="1" s="1"/>
  <c r="G35" i="1" a="1"/>
  <c r="G35" i="1" s="1"/>
  <c r="M35" i="1" a="1"/>
  <c r="M35" i="1" s="1"/>
  <c r="J35" i="1" a="1"/>
  <c r="J35" i="1" s="1"/>
  <c r="L35" i="1" a="1"/>
  <c r="L35" i="1" s="1"/>
  <c r="AM18" i="1"/>
  <c r="AM23" i="1" s="1" a="1"/>
  <c r="AM23" i="1" s="1"/>
  <c r="J44" i="1" l="1"/>
  <c r="AA45" i="1" s="1"/>
  <c r="J60" i="1"/>
  <c r="AA61" i="1" s="1"/>
  <c r="J56" i="1"/>
  <c r="AA57" i="1" s="1"/>
  <c r="J52" i="1"/>
  <c r="AA53" i="1" s="1"/>
  <c r="J48" i="1"/>
  <c r="AA49" i="1" s="1"/>
  <c r="M44" i="1"/>
  <c r="AD45" i="1" s="1"/>
  <c r="M48" i="1"/>
  <c r="AD49" i="1" s="1"/>
  <c r="M56" i="1"/>
  <c r="AD57" i="1" s="1"/>
  <c r="M52" i="1"/>
  <c r="AD53" i="1" s="1"/>
  <c r="M60" i="1"/>
  <c r="AD61" i="1" s="1"/>
  <c r="L56" i="1"/>
  <c r="AC57" i="1" s="1"/>
  <c r="L60" i="1"/>
  <c r="AC61" i="1" s="1"/>
  <c r="L52" i="1"/>
  <c r="AC53" i="1" s="1"/>
  <c r="L44" i="1"/>
  <c r="AC45" i="1" s="1"/>
  <c r="L48" i="1"/>
  <c r="AC49" i="1" s="1"/>
  <c r="G60" i="1"/>
  <c r="G56" i="1"/>
  <c r="G48" i="1"/>
  <c r="G52" i="1"/>
  <c r="G44" i="1"/>
  <c r="I48" i="1"/>
  <c r="Z49" i="1" s="1"/>
  <c r="I56" i="1"/>
  <c r="Z57" i="1" s="1"/>
  <c r="I52" i="1"/>
  <c r="Z53" i="1" s="1"/>
  <c r="I60" i="1"/>
  <c r="Z61" i="1" s="1"/>
  <c r="I44" i="1"/>
  <c r="Z45" i="1" s="1"/>
  <c r="H60" i="1"/>
  <c r="Y61" i="1" s="1"/>
  <c r="H56" i="1"/>
  <c r="Y57" i="1" s="1"/>
  <c r="H44" i="1"/>
  <c r="Y45" i="1" s="1"/>
  <c r="H48" i="1"/>
  <c r="Y49" i="1" s="1"/>
  <c r="H52" i="1"/>
  <c r="Y53" i="1" s="1"/>
  <c r="K48" i="1"/>
  <c r="AB49" i="1" s="1"/>
  <c r="K44" i="1"/>
  <c r="AB45" i="1" s="1"/>
  <c r="K52" i="1"/>
  <c r="AB53" i="1" s="1"/>
  <c r="K56" i="1"/>
  <c r="AB57" i="1" s="1"/>
  <c r="K60" i="1"/>
  <c r="AB61" i="1" s="1"/>
  <c r="X45" i="1" l="1"/>
  <c r="O44" i="1"/>
  <c r="AQ43" i="1" s="1" a="1"/>
  <c r="AQ43" i="1" s="1"/>
  <c r="X61" i="1"/>
  <c r="O60" i="1"/>
  <c r="X53" i="1"/>
  <c r="O52" i="1"/>
  <c r="X49" i="1"/>
  <c r="O48" i="1"/>
  <c r="X57" i="1"/>
  <c r="O56" i="1"/>
  <c r="AM47" i="1" l="1" a="1"/>
  <c r="AM47" i="1" s="1"/>
  <c r="AQ47" i="1" a="1"/>
  <c r="AQ47" i="1" s="1"/>
  <c r="AM59" i="1" a="1"/>
  <c r="AM59" i="1" s="1"/>
  <c r="AQ59" i="1" a="1"/>
  <c r="AQ59" i="1" s="1"/>
  <c r="AM51" i="1" a="1"/>
  <c r="AM51" i="1" s="1"/>
  <c r="AQ51" i="1" a="1"/>
  <c r="AQ51" i="1" s="1"/>
  <c r="AM55" i="1" a="1"/>
  <c r="AM55" i="1" s="1"/>
  <c r="AQ55" i="1" a="1"/>
  <c r="AQ55" i="1" s="1"/>
  <c r="AM43" i="1" a="1"/>
  <c r="AM43" i="1" s="1"/>
  <c r="AF45" i="1"/>
  <c r="AK43" i="1"/>
  <c r="AF49" i="1"/>
  <c r="AK47" i="1"/>
  <c r="AF61" i="1"/>
  <c r="AK59" i="1"/>
  <c r="AF57" i="1"/>
  <c r="AK55" i="1"/>
  <c r="AF53" i="1"/>
  <c r="AK5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<sst xmlns="http://schemas.openxmlformats.org/spreadsheetml/2006/main" count="3086" uniqueCount="426">
  <si>
    <t>No</t>
  </si>
  <si>
    <t>Description</t>
  </si>
  <si>
    <t>Combination</t>
  </si>
  <si>
    <t>1</t>
  </si>
  <si>
    <t>2</t>
  </si>
  <si>
    <t>3</t>
  </si>
  <si>
    <t>4</t>
  </si>
  <si>
    <t>HML</t>
  </si>
  <si>
    <t>SAST</t>
  </si>
  <si>
    <t>TADT (drive)</t>
  </si>
  <si>
    <t>TRDT</t>
  </si>
  <si>
    <t>Heavy Vehicle (Mass, Dimension and Loading) National Regulation</t>
  </si>
  <si>
    <t>Maximum payload (t)</t>
  </si>
  <si>
    <t>Mass Scheme</t>
  </si>
  <si>
    <t>Standard Axle Mass (t)</t>
  </si>
  <si>
    <t>Road Friendly Suspension (RFS) Factor</t>
  </si>
  <si>
    <t>RFS Factor Note</t>
  </si>
  <si>
    <t>Single axle single tyre (450 mm or more)</t>
  </si>
  <si>
    <t>GML</t>
  </si>
  <si>
    <t>Single axle single tyre (Less than 375mm)</t>
  </si>
  <si>
    <t>CML</t>
  </si>
  <si>
    <t>Single axle single tyre (At least 375 mm but less than 450 mm)</t>
  </si>
  <si>
    <t>Austroads (2011) does not provide a factor for this axle configuration</t>
  </si>
  <si>
    <t>Single axle dual tyre</t>
  </si>
  <si>
    <t>SADT</t>
  </si>
  <si>
    <t>Tandem axle single tyre (At least 375 mm but less than 450 mm)</t>
  </si>
  <si>
    <t>TAST</t>
  </si>
  <si>
    <t>Tandem axle single tyre (Less than 375mm)</t>
  </si>
  <si>
    <t>Tandem axle single tyre (450 mm or more)</t>
  </si>
  <si>
    <t>Tandem axle dual tyre (non-drive)</t>
  </si>
  <si>
    <t>TADT (non-drive)</t>
  </si>
  <si>
    <t>Tandem axle dual tyre (drive)</t>
  </si>
  <si>
    <t>Tri-axle single tyre (Less than 375mm)</t>
  </si>
  <si>
    <t>Tri-axle single tyre (At least 375 mm but less than 450 mm)</t>
  </si>
  <si>
    <t>TRST</t>
  </si>
  <si>
    <t>Austroads, 2016</t>
  </si>
  <si>
    <t>Source: NHVR</t>
  </si>
  <si>
    <t>Tri-axle dual tyre</t>
  </si>
  <si>
    <t>Quad-axle dual tyre</t>
  </si>
  <si>
    <t>QADT</t>
  </si>
  <si>
    <t>TSST</t>
  </si>
  <si>
    <t>Pig Single axle dual tyre</t>
  </si>
  <si>
    <t>PSADT</t>
  </si>
  <si>
    <t>Pig Tandem axle dual tyre</t>
  </si>
  <si>
    <t>PTADT</t>
  </si>
  <si>
    <t>Pig Tri-axle dual tyre</t>
  </si>
  <si>
    <t>PTRDT</t>
  </si>
  <si>
    <t>Source: Austroads, 2011</t>
  </si>
  <si>
    <t>Configuration Code</t>
  </si>
  <si>
    <t>GCM (t)</t>
  </si>
  <si>
    <t>Payload (t)</t>
  </si>
  <si>
    <t>R11</t>
  </si>
  <si>
    <t>R12</t>
  </si>
  <si>
    <t>R22</t>
  </si>
  <si>
    <t>R23</t>
  </si>
  <si>
    <t>A123</t>
  </si>
  <si>
    <t>R12T12</t>
  </si>
  <si>
    <t>A124</t>
  </si>
  <si>
    <t>B1222</t>
  </si>
  <si>
    <t>R12T22</t>
  </si>
  <si>
    <t>R12T23</t>
  </si>
  <si>
    <t>R22T22</t>
  </si>
  <si>
    <t>B1233</t>
  </si>
  <si>
    <t>R12T33</t>
  </si>
  <si>
    <t>A122T22</t>
  </si>
  <si>
    <t>B1243</t>
  </si>
  <si>
    <t>B1244</t>
  </si>
  <si>
    <t>A123T23</t>
  </si>
  <si>
    <t>A123T33</t>
  </si>
  <si>
    <t>B12333</t>
  </si>
  <si>
    <t>A123T2B33</t>
  </si>
  <si>
    <t>A123T3B33</t>
  </si>
  <si>
    <t>A123T23T23</t>
  </si>
  <si>
    <t>B1233T2B33</t>
  </si>
  <si>
    <t>A123T33T33</t>
  </si>
  <si>
    <t>B1233T3B33</t>
  </si>
  <si>
    <t>TMR</t>
  </si>
  <si>
    <t>Variable</t>
  </si>
  <si>
    <t>CPI</t>
  </si>
  <si>
    <t>SAR4</t>
  </si>
  <si>
    <t>SAR5</t>
  </si>
  <si>
    <t>SAR12</t>
  </si>
  <si>
    <t>ESA</t>
  </si>
  <si>
    <t>Year</t>
  </si>
  <si>
    <t>31-Mar</t>
  </si>
  <si>
    <t>30-Jun</t>
  </si>
  <si>
    <t>30-Sep</t>
  </si>
  <si>
    <t>31-Dec</t>
  </si>
  <si>
    <t>Source: TMR, 2018a</t>
  </si>
  <si>
    <t>Axle configuration</t>
  </si>
  <si>
    <t>RFS Factor</t>
  </si>
  <si>
    <t>Payload</t>
  </si>
  <si>
    <t>Average marginal cost</t>
  </si>
  <si>
    <t>Manual entry</t>
  </si>
  <si>
    <t>Source</t>
  </si>
  <si>
    <t>Data type</t>
  </si>
  <si>
    <t>Author</t>
  </si>
  <si>
    <t>Publication</t>
  </si>
  <si>
    <t>Link</t>
  </si>
  <si>
    <t>TMR, 2018a</t>
  </si>
  <si>
    <t>Average Marginal Costs</t>
  </si>
  <si>
    <t>https://www.tmr.qld.gov.au/business-industry/Technical-standards-publications/Guide-to-Traffic-Impact-Assessment</t>
  </si>
  <si>
    <t>ABS, 2022</t>
  </si>
  <si>
    <t>ABS</t>
  </si>
  <si>
    <t>https://www.abs.gov.au/statistics/economy/price-indexes-and-inflation/consumer-price-index-australia/latest-release</t>
  </si>
  <si>
    <t>NHVR</t>
  </si>
  <si>
    <t>Mass and Dimension Limits</t>
  </si>
  <si>
    <t>https://www.nhvr.gov.au/law-policies/heavy-vehicle-national-law-and-regulations</t>
  </si>
  <si>
    <t>TMR, 2018b</t>
  </si>
  <si>
    <t>SAR and ESA Calculations</t>
  </si>
  <si>
    <t>Standard Axle Masses</t>
  </si>
  <si>
    <t>Austroads</t>
  </si>
  <si>
    <t>https://austroads.com.au/publications/freight/ap-r505-16#:~:text=The%20study%20found%20that%20the,with%20minimal%20change%20in%20operations</t>
  </si>
  <si>
    <t>Austroads, 2011</t>
  </si>
  <si>
    <t>Road friendly suspension factor</t>
  </si>
  <si>
    <t>https://austroads.com.au/publications/freight/ap-r372-11</t>
  </si>
  <si>
    <t>MDL Maximum Mass (t)</t>
  </si>
  <si>
    <t>R22T12</t>
  </si>
  <si>
    <t>R22T23</t>
  </si>
  <si>
    <t>R22T33</t>
  </si>
  <si>
    <t>A112</t>
  </si>
  <si>
    <t>A122</t>
  </si>
  <si>
    <t>A223</t>
  </si>
  <si>
    <t>A224</t>
  </si>
  <si>
    <t>A1221</t>
  </si>
  <si>
    <t>A1213</t>
  </si>
  <si>
    <t>B1232</t>
  </si>
  <si>
    <t>A1333333</t>
  </si>
  <si>
    <t>B123A3T33</t>
  </si>
  <si>
    <t>A121B21</t>
  </si>
  <si>
    <t>R12T2</t>
  </si>
  <si>
    <t>R22T2</t>
  </si>
  <si>
    <t>R13</t>
  </si>
  <si>
    <t>A111</t>
  </si>
  <si>
    <t>A113</t>
  </si>
  <si>
    <t>R11T11</t>
  </si>
  <si>
    <t>R11T2</t>
  </si>
  <si>
    <t>R12T11</t>
  </si>
  <si>
    <t>R12T3</t>
  </si>
  <si>
    <t>B1223</t>
  </si>
  <si>
    <t>R12T22T22</t>
  </si>
  <si>
    <t>R12T23T23</t>
  </si>
  <si>
    <t>A123T2B333</t>
  </si>
  <si>
    <t>A123T3B333</t>
  </si>
  <si>
    <t>Vehicle A</t>
  </si>
  <si>
    <t>Vehicle B</t>
  </si>
  <si>
    <t>Axle group:</t>
  </si>
  <si>
    <t>PBS</t>
  </si>
  <si>
    <t>3-axle prime mover B-double (4-4)</t>
  </si>
  <si>
    <t>PBS Level</t>
  </si>
  <si>
    <t>Mass scheme</t>
  </si>
  <si>
    <t>Fleet</t>
  </si>
  <si>
    <t>9-Axle B-Double</t>
  </si>
  <si>
    <t>6-Axle Semitrailer</t>
  </si>
  <si>
    <t>SAR7</t>
  </si>
  <si>
    <t>18-Axle ABB-Quad</t>
  </si>
  <si>
    <t>17-Axle ABB-Quad</t>
  </si>
  <si>
    <t>18-Axle BAB-Quad</t>
  </si>
  <si>
    <t>17-Axle BAB-Quad</t>
  </si>
  <si>
    <t>13-Axle Rigid Truck and 2 Dog Trailers</t>
  </si>
  <si>
    <t>18-Axle A-Triple</t>
  </si>
  <si>
    <t>4-axle truck and 2-axle pig trailer</t>
  </si>
  <si>
    <t>16-Axle A-Triple</t>
  </si>
  <si>
    <t>3-axle truck and 2-axle pig trailer</t>
  </si>
  <si>
    <t>11-Axle Rigid Truck and 2 Dog Trailers</t>
  </si>
  <si>
    <t>AB-double (1-2-1)</t>
  </si>
  <si>
    <t>15-Axle AB-Triple</t>
  </si>
  <si>
    <t>BA-triple (3-3-3-3)</t>
  </si>
  <si>
    <t>14-Axle AB-Triple</t>
  </si>
  <si>
    <t>AB-triple (3-3-3-3)</t>
  </si>
  <si>
    <t>12-Axle B-Triple</t>
  </si>
  <si>
    <t>B-triple (3-3-3)</t>
  </si>
  <si>
    <t>12-Axle Modular B-Triple</t>
  </si>
  <si>
    <t>A-triple (3-3-3-3-3)</t>
  </si>
  <si>
    <t>12-Axle A-Double</t>
  </si>
  <si>
    <t>3-axle prime mover A-double (3-3-3)</t>
  </si>
  <si>
    <t>11-Axle A-Double</t>
  </si>
  <si>
    <t>3-axle prime mover A-double (3-2-3)</t>
  </si>
  <si>
    <t>9-Axle A-Double</t>
  </si>
  <si>
    <t>3-axle prime mover A-double (2-2-2)</t>
  </si>
  <si>
    <t>8-Axle B-Double</t>
  </si>
  <si>
    <t>3-axle prime mover B-double (4-3)</t>
  </si>
  <si>
    <t>7-Axle B-Double</t>
  </si>
  <si>
    <t>3-axle prime mover B-double (3-3)</t>
  </si>
  <si>
    <t>4-Axle Truck and 4-Axle Dog Trailer</t>
  </si>
  <si>
    <t>3-axle prime mover B-double (3-2)</t>
  </si>
  <si>
    <t>4-Axle Truck and 3-Axle Dog Trailer</t>
  </si>
  <si>
    <t>3-axle prime mover B-double (2-2)</t>
  </si>
  <si>
    <t>3-Axle Truck and 4-Axle Dog Trailer</t>
  </si>
  <si>
    <t>Prime mover and semitrailer with 2 axle groups (1-3)</t>
  </si>
  <si>
    <t>3-Axle Truck and 3-Axle Pig Trailer</t>
  </si>
  <si>
    <t>Prime mover and semitrailer with 2 axle groups (2-1)</t>
  </si>
  <si>
    <t>3-Axle Truck and 3-Axle Dog Trailer</t>
  </si>
  <si>
    <t>4-axle prime mover and quad-axle semitrailer</t>
  </si>
  <si>
    <t>3-Axle Truck and 2-Axle Pig Trailer</t>
  </si>
  <si>
    <t>3-axle prime mover and quad-axle semitrailer</t>
  </si>
  <si>
    <t>3-Axle Truck and 2-Axle Dog Trailer</t>
  </si>
  <si>
    <t>4-axle prime mover and 3-axle semitrailer</t>
  </si>
  <si>
    <t>2-Axle Truck and 2-Axle Pig Trailer</t>
  </si>
  <si>
    <t>3-axle prime mover and 3-axle semitrailer</t>
  </si>
  <si>
    <t>2-Axle Truck and 2-Axle Dog Trailer</t>
  </si>
  <si>
    <t>3-axle prime mover and 2-axle semitrailer</t>
  </si>
  <si>
    <t>n/a</t>
  </si>
  <si>
    <t>2-axle prime mover and 2-axle semitrailer</t>
  </si>
  <si>
    <t>Possibilities</t>
  </si>
  <si>
    <t>5-Axle Semitrailer</t>
  </si>
  <si>
    <t>4-axle truck and 6-axle dog trailer</t>
  </si>
  <si>
    <t>4-Axle Semitrailer</t>
  </si>
  <si>
    <t>4-axle truck and 5-axle dog trailer</t>
  </si>
  <si>
    <t>Filtered PBS level lists (automatically generated)</t>
  </si>
  <si>
    <t>3-Axle Semitrailer</t>
  </si>
  <si>
    <t>4-axle truck and 4-axle dog trailer</t>
  </si>
  <si>
    <t>5-Axle Twinsteer Rigid Truck</t>
  </si>
  <si>
    <t>4-axle truck and 3-axle dog trailer</t>
  </si>
  <si>
    <t>4-Axle Twinsteer Rigid Truck</t>
  </si>
  <si>
    <t>3-axle truck and 6-axle dog trailer</t>
  </si>
  <si>
    <t>4-Axle Rigid</t>
  </si>
  <si>
    <t>3-axle truck and 5-axle dog trailer</t>
  </si>
  <si>
    <t>3-Axle Rigid</t>
  </si>
  <si>
    <t>3-axle truck and 4-axle dog trailer</t>
  </si>
  <si>
    <t>Conventional</t>
  </si>
  <si>
    <t>2-Axle Rigid</t>
  </si>
  <si>
    <t>3-axle truck and 3-axle dog trailer</t>
  </si>
  <si>
    <t>Filtered mass lists (automatically generated)</t>
  </si>
  <si>
    <t>Filtered configuration lists (automatically generated)</t>
  </si>
  <si>
    <t>Possible vehicle configurations by fleet</t>
  </si>
  <si>
    <t>Tare (t)</t>
  </si>
  <si>
    <t>Config.</t>
  </si>
  <si>
    <t>Unique ID</t>
  </si>
  <si>
    <t>Tare</t>
  </si>
  <si>
    <t>PBS level</t>
  </si>
  <si>
    <t>User adjusted mass:</t>
  </si>
  <si>
    <t>Standard axle mass:</t>
  </si>
  <si>
    <t>Average masses</t>
  </si>
  <si>
    <t>Vehicle selection</t>
  </si>
  <si>
    <t>MDL upper mass limit:</t>
  </si>
  <si>
    <t>Tyre size</t>
  </si>
  <si>
    <t>Control box</t>
  </si>
  <si>
    <t>Configuration codes</t>
  </si>
  <si>
    <t>Axle masses</t>
  </si>
  <si>
    <t>Default</t>
  </si>
  <si>
    <t>Difference between MDL and GCM</t>
  </si>
  <si>
    <t>Total (2)</t>
  </si>
  <si>
    <t>Difference between MDL and corrected axle masses</t>
  </si>
  <si>
    <t>Check (2)</t>
  </si>
  <si>
    <t>&lt; Select</t>
  </si>
  <si>
    <t>GCM (Difference)</t>
  </si>
  <si>
    <t>Default axle group code:</t>
  </si>
  <si>
    <t>Default mass:</t>
  </si>
  <si>
    <t>RFS</t>
  </si>
  <si>
    <t>Axle mass adjustments</t>
  </si>
  <si>
    <t>Has RFS been applied to any axle group?</t>
  </si>
  <si>
    <t>Selection summary</t>
  </si>
  <si>
    <t>GCM (t):</t>
  </si>
  <si>
    <t>Payload (t):</t>
  </si>
  <si>
    <t>Tare (t):</t>
  </si>
  <si>
    <t>&lt; 350mm</t>
  </si>
  <si>
    <t>375 - 450mm</t>
  </si>
  <si>
    <t>&gt; 450mm</t>
  </si>
  <si>
    <t>Total ESA</t>
  </si>
  <si>
    <t>Filter list (Vehicle A)</t>
  </si>
  <si>
    <t>Filter list (Vehicle B)</t>
  </si>
  <si>
    <t>Mass Scheme (Vehicle A)</t>
  </si>
  <si>
    <t>Mass Scheme (Vehicle B)</t>
  </si>
  <si>
    <t>PBS level (Vehicle A)</t>
  </si>
  <si>
    <t>PBS level (Vehicle B)</t>
  </si>
  <si>
    <t>Nil.</t>
  </si>
  <si>
    <t>Vehicle configuration</t>
  </si>
  <si>
    <t>Image</t>
  </si>
  <si>
    <t>Conventional vehicles</t>
  </si>
  <si>
    <t>PBS vehicles</t>
  </si>
  <si>
    <t>Default tyre size:</t>
  </si>
  <si>
    <t>User adjusted axle group code and tyre size:</t>
  </si>
  <si>
    <t>Default Road Friendly Suspension (RFS) factor:</t>
  </si>
  <si>
    <t>Legend</t>
  </si>
  <si>
    <t>Red text</t>
  </si>
  <si>
    <t>User input required</t>
  </si>
  <si>
    <t>Axle groups and tyres</t>
  </si>
  <si>
    <t>Road Friendly Suspension</t>
  </si>
  <si>
    <t>Instructions</t>
  </si>
  <si>
    <t>t</t>
  </si>
  <si>
    <t>MDL</t>
  </si>
  <si>
    <t>km</t>
  </si>
  <si>
    <t>Gross Combination Mass</t>
  </si>
  <si>
    <t>Kilometers</t>
  </si>
  <si>
    <t>Performance Based Standards</t>
  </si>
  <si>
    <t>Tonne</t>
  </si>
  <si>
    <t>Higher Mass Limits</t>
  </si>
  <si>
    <t>General Mass Limits</t>
  </si>
  <si>
    <t>Concessional Mass Limits</t>
  </si>
  <si>
    <t>GCM</t>
  </si>
  <si>
    <t>Equivalent Standard Axles</t>
  </si>
  <si>
    <t>SAR</t>
  </si>
  <si>
    <t>Standard Axle Repetitions</t>
  </si>
  <si>
    <t>Axle groups:</t>
  </si>
  <si>
    <t>Date</t>
  </si>
  <si>
    <t>CPI: Weighted average of Australian capital cities</t>
  </si>
  <si>
    <t>6401.0 Consumer Price Index, Australia</t>
  </si>
  <si>
    <t>Base value</t>
  </si>
  <si>
    <t>TABLES 3 and 4. CPI: Groups, Weighted Average of Eight Capital Cities, Index Numbers and Percentage Changes</t>
  </si>
  <si>
    <t>Base value year</t>
  </si>
  <si>
    <t>Series ID: A2325846C</t>
  </si>
  <si>
    <t>Index</t>
  </si>
  <si>
    <t>Base year</t>
  </si>
  <si>
    <t>Step I</t>
  </si>
  <si>
    <t>Step II</t>
  </si>
  <si>
    <t>Step III</t>
  </si>
  <si>
    <t>Step IV</t>
  </si>
  <si>
    <t>Description (short)</t>
  </si>
  <si>
    <t>Default values determined by adjusting the mass of each axle group in equal proportion, relative to MDL upper mass limits, such that their sum equals the GCM (e.g. each axle is 95% of their maximum permissible mass). Default values may not represent real-world mass and may over- or under-state pavement wear. Manual input is recommended</t>
  </si>
  <si>
    <t>Default masses</t>
  </si>
  <si>
    <t>Default axle group codes</t>
  </si>
  <si>
    <t>Vehicle description</t>
  </si>
  <si>
    <t>MDL axle masses</t>
  </si>
  <si>
    <t>MDL axle group 1 mass</t>
  </si>
  <si>
    <t>MDL axle group 2 mass</t>
  </si>
  <si>
    <t>MDL axle group 3 mass</t>
  </si>
  <si>
    <t>MDL axle group 4 mass</t>
  </si>
  <si>
    <t>MDL axle group 5 mass</t>
  </si>
  <si>
    <t>MDL axle group 6 mass</t>
  </si>
  <si>
    <t>MDL axle group 7 mass</t>
  </si>
  <si>
    <t>Corrected axle group 1 mass</t>
  </si>
  <si>
    <t>Corrected axle group 2 mass</t>
  </si>
  <si>
    <t>Corrected axle group 3 mass</t>
  </si>
  <si>
    <t>Corrected axle group 4 mass</t>
  </si>
  <si>
    <t>Corrected axle group 5 mass</t>
  </si>
  <si>
    <t>Corrected axle group 6 mass</t>
  </si>
  <si>
    <t>Corrected axle group 7 mass</t>
  </si>
  <si>
    <t>Total (1)</t>
  </si>
  <si>
    <t>Check (1)</t>
  </si>
  <si>
    <t>Glossary</t>
  </si>
  <si>
    <t>Sealed roads with asphaltic concrete pavement. Type of damage = fatigue of asphalt. SAR5  = (axle mass / standard axle mass) ^ 5</t>
  </si>
  <si>
    <t>Sealed roads with cement stabilised pavement. Type of damage = fatigue of cemented materials. SAR12  = (axle mass / standard axle mass) ^ 12</t>
  </si>
  <si>
    <t>Pavement impact measures</t>
  </si>
  <si>
    <t>Used to assess the rutting and loss of shape of flexible pavements with bound layers. SAR7  = (axle mass / standard axle mass) ^ 7</t>
  </si>
  <si>
    <t>Axle Code</t>
  </si>
  <si>
    <t>Tyre Size</t>
  </si>
  <si>
    <t>Reference material</t>
  </si>
  <si>
    <t>Image not to scale</t>
  </si>
  <si>
    <t>Error message</t>
  </si>
  <si>
    <t>Text</t>
  </si>
  <si>
    <t>Steps 1 - 7</t>
  </si>
  <si>
    <t>ERROR</t>
  </si>
  <si>
    <t>Output comparison</t>
  </si>
  <si>
    <t>Total SAR4</t>
  </si>
  <si>
    <t>Total SAR5</t>
  </si>
  <si>
    <t>Total SAR7</t>
  </si>
  <si>
    <t>Total SAR12</t>
  </si>
  <si>
    <t>Greater impact</t>
  </si>
  <si>
    <t>Lesser impact</t>
  </si>
  <si>
    <t>Key</t>
  </si>
  <si>
    <t>Equal impact</t>
  </si>
  <si>
    <t>axle group 1</t>
  </si>
  <si>
    <t>axle group 2</t>
  </si>
  <si>
    <t>axle group 3</t>
  </si>
  <si>
    <t>axle group 4</t>
  </si>
  <si>
    <t>axle group 5</t>
  </si>
  <si>
    <t>axle group 6</t>
  </si>
  <si>
    <t>axle group 7</t>
  </si>
  <si>
    <t>Pavement Wear Assessment Method for PBS Vehicles (AP-R372-11), Table 4.8</t>
  </si>
  <si>
    <t>National Steer Axle Mass Limits (AP-R505-16), Tables 4.1 and 4.2</t>
  </si>
  <si>
    <t>Consumer Price Index: Weighted Average of Eight Capital Cities, Index Numbers and Percentage Changes, Tables 3 and 4</t>
  </si>
  <si>
    <t>Guide to Traffic Impact Assessment Practice Note: Pavement Impact Assessment, Table 6</t>
  </si>
  <si>
    <t>Guide to Traffic Impact Assessment Practice Note: Pavement Impact Assessment, Section 2</t>
  </si>
  <si>
    <t>Standard axle mass</t>
  </si>
  <si>
    <t>The mass that results in a vertical force of 80kN for different axle group types (i.e., standard axle mass is a unit of measurement of equivalent force.)</t>
  </si>
  <si>
    <t>Results</t>
  </si>
  <si>
    <t>Mass and configuration inputs</t>
  </si>
  <si>
    <t>Pavement impact outputs</t>
  </si>
  <si>
    <t>Step 1. Select vehicle type</t>
  </si>
  <si>
    <t>Step 4. Select vehicle type</t>
  </si>
  <si>
    <t>Step 3. Adjust vehicle inputs as directed (note Step 2 selection)</t>
  </si>
  <si>
    <t>Step 5. Select default or manual input</t>
  </si>
  <si>
    <t>Step 2. Select default or manual input</t>
  </si>
  <si>
    <t>To opt out of using RFS factors select 'No' (Optional):</t>
  </si>
  <si>
    <t>ESA:</t>
  </si>
  <si>
    <t>SAR4:</t>
  </si>
  <si>
    <t>SAR5:</t>
  </si>
  <si>
    <t>SAR7:</t>
  </si>
  <si>
    <t>SAR12:</t>
  </si>
  <si>
    <t>Vehicle components</t>
  </si>
  <si>
    <t>% impact relative to Vehicle A:</t>
  </si>
  <si>
    <t>Vehicle component adjustments</t>
  </si>
  <si>
    <t>Step 7. Select marginal cost inputs (Optional)</t>
  </si>
  <si>
    <t>Heavy Vehicle (Mass and Dimension Loading) National Regulation</t>
  </si>
  <si>
    <t>User guide</t>
  </si>
  <si>
    <t>Sealed roads with asphaltic concrete pavement (SAR5)</t>
  </si>
  <si>
    <t>Sealed roads with cement stabilised pavement (SAR12)</t>
  </si>
  <si>
    <t>Seal roads with granular pavement (SAR4 &amp; ESA)</t>
  </si>
  <si>
    <t>Sealed roads with granular pavement (e.g. bituminous surfacing). Type of damage = overall damage
ESA  = (axle mass / standard axle mass) ^ 4</t>
  </si>
  <si>
    <t>Sealed roads with granular pavement (e.g. bituminous surfacing). Type of damage = overall damage
SAR4  = (axle mass / standard axle mass) ^ 4</t>
  </si>
  <si>
    <t xml:space="preserve">Note: TMR, 2018a does not contain a marginal cost per km for SAR7. Manual input on calculator dashboard recommended. </t>
  </si>
  <si>
    <t>Step 6. Adjust vehicle inputs as directed (note Step 5 selection)</t>
  </si>
  <si>
    <t>Estimate cost of pavement wear to transport 100t payload by 1km</t>
  </si>
  <si>
    <t>Tri-axle single tyre (450 mm or more)</t>
  </si>
  <si>
    <t>Quad-axle single tyre (Less than 375mm)</t>
  </si>
  <si>
    <t>QAST</t>
  </si>
  <si>
    <t>Quad-axle single tyre (At least 375 mm but less than 450 mm)</t>
  </si>
  <si>
    <t>Quad-axle single tyre (450 mm or more)</t>
  </si>
  <si>
    <t>Twin Steer Single Tyre (Less than 375) (Load sharing suspension)</t>
  </si>
  <si>
    <t>Twin Steer Single Tyre (At least 375mm but less than 450mm) (Load sharing suspension)</t>
  </si>
  <si>
    <t>Twin Steer Single Tyre (450mm or more) (Load sharing suspension)</t>
  </si>
  <si>
    <t>TSST: &lt; 350mm (Load sharing suspension)</t>
  </si>
  <si>
    <t>TSST: 375 - 450mm (Load sharing suspension)</t>
  </si>
  <si>
    <t>TSST: &gt; 450mm (Load sharing suspension)</t>
  </si>
  <si>
    <t>Config. Code for Tyres</t>
  </si>
  <si>
    <t>Standard Axle Masses (Pig axles only)</t>
  </si>
  <si>
    <t>Austroads, 2019</t>
  </si>
  <si>
    <t>https://austroads.com.au/publications/pavement/agpt02</t>
  </si>
  <si>
    <t>AGPT02-17 Guide to Pavement Technology Part 2: Pavement Structural Design, Tables 7.7 and 7.8</t>
  </si>
  <si>
    <t>Source: Austroads, 2019 &amp; Austroads, 2016</t>
  </si>
  <si>
    <r>
      <t xml:space="preserve">Disclaimer: </t>
    </r>
    <r>
      <rPr>
        <sz val="9"/>
        <rFont val="Calibri"/>
        <family val="2"/>
        <scheme val="minor"/>
      </rPr>
      <t>The National Heavy Vehicle Regulator (NHVR) provides the Pavement Impact Comparison Calculator tool, and all related and associated documents (including guidelines, websites, presentations, etc.) (collectively, ‘the materials’) to assist a person make decisions about heavy vehicle combinations on roads. By using the materials, you agree that (1) the NHVR makes no representations or warranties whatsoever in relation to the currency, accuracy, reliability, and useability of the materials or any outputs from them (2) you will undertake all due diligence that may be required in relation to any decision(s) about heavy vehicle combinations on roads and you will not solely rely upon the materials or any outputs from them (3) you will release and fully indemnify the NHVR in relation to any liability whatsoever arising from your use or reliance on the materials (4) any and all intellectual property rights in the materials vests with, or is owned by, the NHVR and all such rights are reserved and you will not publish, modify, replicate, or distribute the materials without the NHVR’s express permission and (5) these terms are governed by the law of Queensland and you submit to the exclusive jurisdiction of the courts of Queensland.</t>
    </r>
  </si>
  <si>
    <t>QLD</t>
  </si>
  <si>
    <t>NSW</t>
  </si>
  <si>
    <t>Vic</t>
  </si>
  <si>
    <t>SA</t>
  </si>
  <si>
    <t>Tas</t>
  </si>
  <si>
    <t>ACT</t>
  </si>
  <si>
    <t>Payload per ESA or SAR</t>
  </si>
  <si>
    <t>Veh. B / Veh.A</t>
  </si>
  <si>
    <t>Wear Productivity Index Ratio</t>
  </si>
  <si>
    <t>Pavement Impact Comparison Calculator | Version: Beta (24 April 2024)</t>
  </si>
  <si>
    <t>WPI</t>
  </si>
  <si>
    <t>Wear Productivity Index</t>
  </si>
  <si>
    <r>
      <rPr>
        <b/>
        <sz val="9"/>
        <rFont val="Calibri"/>
        <family val="2"/>
        <scheme val="minor"/>
      </rPr>
      <t>Technical notes</t>
    </r>
    <r>
      <rPr>
        <sz val="9"/>
        <rFont val="Calibri"/>
        <family val="2"/>
        <scheme val="minor"/>
      </rPr>
      <t xml:space="preserve">
a) Default axle masses were determined by adjusting the mass of each axle group in equal proportion, relative to MDL upper mass limits, such that their sum equals the GCM (e.g. each axle is 95% of their maximum permissible mass). Default values may not represent real-world mass and may over- or under-state pavement wear. Manual input is recommended. 
b) Road Friendly Suspension (RFS) factors are based on and applied as in Austroads (2011). RFS factors are not available for all axle groups in Austroads (2011). Where none was identified, a default factor of 1 has been applied. In the literature, some sources equate the impact of HML with RFS as equivalent to GML. Users may adopt the same approach, and calculate HML with RFS by using GML related inputs (e.g., By selecting GML as the mass scheme in step 1 (III) and step 4 (III)). 
c) Drive and non-drive axle groupings have only been distinguished for the TADT axle group. This is due to the difference in the Road Friendly Suspension factor, as specified in Austroads (2011). 
d) Default tyre size of less than 350mm has been applied for SAST, TAST, TRST, QAST and TSST axle groupings. Manual input is recommended for alternative tyre sizes for these axle groupings. Tyre size selection is not available for other axle groupings, because tyre size does not affect the mass limit in the MDL. 
e) Manual entry is the default for the estimate marginal cost of pavement wear. Note data is only available for Qld, as the Department of Transport and Main Roads (Qld) are the only transport agency to have publicly available information on their estimate marginal cost of pavement wear. Costs reflect the marginal costs per kilometer in TMR's Guide to Traffic Impact Assessment Practice Note: Pavement Impact Assessment (TMR, 2018a), escalated to 2023 dollars. As more data is made available, the available will be updated.
f) In TMR (2018a), costs for unbound pavements are calculated in terms of loading units/km. Default costs are based on the Australian Local Road Deterioration Study, employed by TMR. It is not necessarily accurate to apply marginal cost rates for atypical vehicles (e.g. for those with atypical axle masses, where marginal costs may be over- or underestimated). 
g) TMR (2018a) does not contain a marginal cost per km for SAR7. Manual input is recommended. </t>
    </r>
  </si>
  <si>
    <t>The information contained within this tool is provided for general information only and does not constitute professional engineering advice or the provision of a professional engineering service | This tool does not calculate outputs based on real-world conditions and costs | This tool can be used to estimate potential pavement vertical loading effects of heavy vehicles and potential associated costs | The NHVR recommends users make their own independent enquiries as required | The NHVR reserves the right to make changes without notice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</si>
</sst>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7" formatCode="&quot;$&quot;#,##0.00;\-&quot;$&quot;#,##0.00"/>
    <numFmt numFmtId="42" formatCode="_-&quot;$&quot;* #,##0_-;\-&quot;$&quot;* #,##0_-;_-&quot;$&quot;* &quot;-&quot;_-;_-@_-"/>
    <numFmt numFmtId="44" formatCode="_-&quot;$&quot;* #,##0.00_-;\-&quot;$&quot;* #,##0.00_-;_-&quot;$&quot;* &quot;-&quot;??_-;_-@_-"/>
    <numFmt numFmtId="43" formatCode="_-* #,##0.00_-;\-* #,##0.00_-;_-* &quot;-&quot;??_-;_-@_-"/>
    <numFmt numFmtId="164" formatCode="_-#,##0_-;\-#,##0_-;_-&quot;-&quot;_-;_-@_-"/>
    <numFmt numFmtId="165" formatCode="_-&quot;$&quot;* #,##0.00000_-;\-&quot;$&quot;* #,##0.00000_-;_-&quot;$&quot;* &quot;-&quot;??_-;_-@_-"/>
    <numFmt numFmtId="166" formatCode="0.0000"/>
    <numFmt numFmtId="167" formatCode="0.0"/>
  </numFmts>
  <fonts count="59"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1"/>
      <name val="Calibri"/>
      <family val="2"/>
      <scheme val="minor"/>
    </font>
    <font>
      <sz val="8"/>
      <name val="Calibri"/>
      <family val="2"/>
      <scheme val="minor"/>
    </font>
    <font>
      <u/>
      <sz val="11"/>
      <color theme="10"/>
      <name val="Calibri"/>
      <family val="2"/>
      <scheme val="minor"/>
    </font>
    <font>
      <b/>
      <sz val="10"/>
      <color theme="1"/>
      <name val="Calibri"/>
      <family val="2"/>
      <scheme val="minor"/>
    </font>
    <font>
      <sz val="10"/>
      <color theme="1"/>
      <name val="Calibri"/>
      <family val="2"/>
      <scheme val="minor"/>
    </font>
    <font>
      <i/>
      <sz val="11"/>
      <color rgb="FFFF0000"/>
      <name val="Calibri"/>
      <family val="2"/>
      <scheme val="minor"/>
    </font>
    <font>
      <b/>
      <i/>
      <sz val="11"/>
      <color theme="1"/>
      <name val="Calibri"/>
      <family val="2"/>
      <scheme val="minor"/>
    </font>
    <font>
      <sz val="11"/>
      <color rgb="FF3F3F76"/>
      <name val="Calibri"/>
      <family val="2"/>
      <scheme val="minor"/>
    </font>
    <font>
      <b/>
      <sz val="12"/>
      <color theme="0"/>
      <name val="Arial"/>
      <family val="2"/>
    </font>
    <font>
      <sz val="12"/>
      <color theme="1"/>
      <name val="Arial"/>
      <family val="2"/>
    </font>
    <font>
      <b/>
      <sz val="16"/>
      <color theme="0"/>
      <name val="Calibri"/>
      <family val="2"/>
      <scheme val="minor"/>
    </font>
    <font>
      <sz val="10"/>
      <name val="Arial"/>
      <family val="2"/>
    </font>
    <font>
      <u/>
      <sz val="11.5"/>
      <color theme="10"/>
      <name val="Calibri"/>
      <family val="2"/>
      <scheme val="minor"/>
    </font>
    <font>
      <u/>
      <sz val="11.5"/>
      <color rgb="FF00CCFF"/>
      <name val="Calibri"/>
      <family val="2"/>
      <scheme val="minor"/>
    </font>
    <font>
      <b/>
      <sz val="18"/>
      <color theme="3"/>
      <name val="Calibri Light"/>
      <family val="2"/>
      <scheme val="major"/>
    </font>
    <font>
      <b/>
      <sz val="15"/>
      <color theme="0"/>
      <name val="Calibri"/>
      <family val="2"/>
      <scheme val="minor"/>
    </font>
    <font>
      <b/>
      <sz val="13"/>
      <color theme="1"/>
      <name val="Calibri"/>
      <family val="2"/>
      <scheme val="minor"/>
    </font>
    <font>
      <sz val="10"/>
      <name val="MS Sans Serif"/>
    </font>
    <font>
      <sz val="10"/>
      <name val="Calibri"/>
      <family val="2"/>
      <scheme val="minor"/>
    </font>
    <font>
      <b/>
      <sz val="10"/>
      <name val="Calibri"/>
      <family val="2"/>
      <scheme val="minor"/>
    </font>
    <font>
      <sz val="10"/>
      <color rgb="FFFF0000"/>
      <name val="Calibri"/>
      <family val="2"/>
      <scheme val="minor"/>
    </font>
    <font>
      <sz val="14"/>
      <color theme="0"/>
      <name val="Calibri"/>
      <family val="2"/>
      <scheme val="minor"/>
    </font>
    <font>
      <b/>
      <sz val="8"/>
      <name val="Calibri"/>
      <family val="2"/>
      <scheme val="minor"/>
    </font>
    <font>
      <u/>
      <sz val="11"/>
      <color theme="0"/>
      <name val="Calibri"/>
      <family val="2"/>
      <scheme val="minor"/>
    </font>
    <font>
      <sz val="36"/>
      <color theme="3"/>
      <name val="Avenir Next LT Pro Light"/>
      <family val="2"/>
    </font>
    <font>
      <sz val="10"/>
      <color theme="0"/>
      <name val="Calibri"/>
      <family val="2"/>
      <scheme val="minor"/>
    </font>
    <font>
      <u/>
      <sz val="10"/>
      <color theme="10"/>
      <name val="Calibri"/>
      <family val="2"/>
      <scheme val="minor"/>
    </font>
    <font>
      <u/>
      <sz val="10"/>
      <name val="Calibri"/>
      <family val="2"/>
      <scheme val="minor"/>
    </font>
    <font>
      <b/>
      <sz val="11"/>
      <color theme="3"/>
      <name val="Calibri"/>
      <family val="2"/>
      <scheme val="minor"/>
    </font>
    <font>
      <b/>
      <sz val="9"/>
      <color theme="3"/>
      <name val="Calibri"/>
      <family val="2"/>
      <scheme val="minor"/>
    </font>
    <font>
      <sz val="11"/>
      <color theme="3"/>
      <name val="Calibri"/>
      <family val="2"/>
      <scheme val="minor"/>
    </font>
    <font>
      <b/>
      <sz val="12"/>
      <color theme="3"/>
      <name val="Calibri"/>
      <family val="2"/>
      <scheme val="minor"/>
    </font>
    <font>
      <sz val="20"/>
      <color theme="0"/>
      <name val="Calibri"/>
      <family val="2"/>
      <scheme val="minor"/>
    </font>
    <font>
      <b/>
      <sz val="14"/>
      <color theme="0"/>
      <name val="Calibri"/>
      <family val="2"/>
      <scheme val="minor"/>
    </font>
    <font>
      <sz val="20"/>
      <color theme="3"/>
      <name val="Avenir Next LT Pro Light"/>
      <family val="2"/>
    </font>
    <font>
      <sz val="12"/>
      <color theme="0"/>
      <name val="Calibri"/>
      <family val="2"/>
      <scheme val="minor"/>
    </font>
    <font>
      <sz val="9"/>
      <color rgb="FFFF0000"/>
      <name val="Calibri"/>
      <family val="2"/>
      <scheme val="minor"/>
    </font>
    <font>
      <sz val="16"/>
      <color theme="1"/>
      <name val="Calibri"/>
      <family val="2"/>
      <scheme val="minor"/>
    </font>
    <font>
      <sz val="16"/>
      <color rgb="FFFF0000"/>
      <name val="Calibri"/>
      <family val="2"/>
      <scheme val="minor"/>
    </font>
    <font>
      <sz val="11"/>
      <color theme="3" tint="0.79998168889431442"/>
      <name val="Calibri"/>
      <family val="2"/>
      <scheme val="minor"/>
    </font>
    <font>
      <sz val="8"/>
      <color rgb="FFFF0000"/>
      <name val="Calibri"/>
      <family val="2"/>
      <scheme val="minor"/>
    </font>
    <font>
      <b/>
      <sz val="9"/>
      <color theme="1"/>
      <name val="Calibri"/>
      <family val="2"/>
      <scheme val="minor"/>
    </font>
    <font>
      <sz val="36"/>
      <color theme="0"/>
      <name val="Avenir Next LT Pro Light"/>
      <family val="2"/>
    </font>
    <font>
      <u/>
      <sz val="26"/>
      <color theme="10"/>
      <name val="Calibri"/>
      <family val="2"/>
      <scheme val="minor"/>
    </font>
    <font>
      <b/>
      <sz val="11"/>
      <color rgb="FFFF0000"/>
      <name val="Calibri"/>
      <family val="2"/>
      <scheme val="minor"/>
    </font>
    <font>
      <b/>
      <sz val="16"/>
      <color theme="1"/>
      <name val="Calibri"/>
      <family val="2"/>
      <scheme val="minor"/>
    </font>
    <font>
      <sz val="12"/>
      <color theme="1"/>
      <name val="Calibri"/>
      <family val="2"/>
      <scheme val="minor"/>
    </font>
    <font>
      <b/>
      <sz val="9"/>
      <name val="Calibri"/>
      <family val="2"/>
      <scheme val="minor"/>
    </font>
    <font>
      <sz val="9"/>
      <name val="Calibri"/>
      <family val="2"/>
      <scheme val="minor"/>
    </font>
    <font>
      <sz val="14"/>
      <color theme="1"/>
      <name val="Calibri"/>
      <family val="2"/>
      <scheme val="minor"/>
    </font>
    <font>
      <b/>
      <sz val="8"/>
      <color theme="1"/>
      <name val="Calibri"/>
      <family val="2"/>
      <scheme val="minor"/>
    </font>
    <font>
      <sz val="10"/>
      <color theme="3"/>
      <name val="Avenir Next LT Pro Light"/>
      <family val="2"/>
    </font>
  </fonts>
  <fills count="35">
    <fill>
      <patternFill patternType="none"/>
    </fill>
    <fill>
      <patternFill patternType="gray125"/>
    </fill>
    <fill>
      <patternFill patternType="solid">
        <fgColor theme="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696A6D"/>
        <bgColor indexed="64"/>
      </patternFill>
    </fill>
    <fill>
      <patternFill patternType="solid">
        <fgColor rgb="FFF6C1D1"/>
        <bgColor indexed="64"/>
      </patternFill>
    </fill>
    <fill>
      <patternFill patternType="solid">
        <fgColor rgb="FF9EC0DB"/>
        <bgColor indexed="64"/>
      </patternFill>
    </fill>
    <fill>
      <patternFill patternType="solid">
        <fgColor rgb="FF008698"/>
        <bgColor indexed="64"/>
      </patternFill>
    </fill>
    <fill>
      <patternFill patternType="solid">
        <fgColor rgb="FF262D33"/>
        <bgColor indexed="64"/>
      </patternFill>
    </fill>
    <fill>
      <patternFill patternType="solid">
        <fgColor rgb="FFE0D4A4"/>
        <bgColor indexed="64"/>
      </patternFill>
    </fill>
    <fill>
      <patternFill patternType="solid">
        <fgColor rgb="FF0000FF"/>
        <bgColor indexed="64"/>
      </patternFill>
    </fill>
    <fill>
      <patternFill patternType="solid">
        <fgColor rgb="FF00CCFF"/>
        <bgColor indexed="64"/>
      </patternFill>
    </fill>
    <fill>
      <patternFill patternType="solid">
        <fgColor theme="5" tint="-0.2499465926084170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CCC"/>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bgColor indexed="64"/>
      </patternFill>
    </fill>
    <fill>
      <patternFill patternType="solid">
        <fgColor theme="7"/>
        <bgColor indexed="64"/>
      </patternFill>
    </fill>
    <fill>
      <patternFill patternType="solid">
        <fgColor theme="8" tint="0.39997558519241921"/>
        <bgColor indexed="64"/>
      </patternFill>
    </fill>
    <fill>
      <patternFill patternType="solid">
        <fgColor rgb="FFFF0000"/>
        <bgColor indexed="64"/>
      </patternFill>
    </fill>
    <fill>
      <patternFill patternType="solid">
        <fgColor theme="4"/>
        <bgColor indexed="64"/>
      </patternFill>
    </fill>
    <fill>
      <patternFill patternType="solid">
        <fgColor rgb="FFFFFF00"/>
        <bgColor indexed="64"/>
      </patternFill>
    </fill>
    <fill>
      <patternFill patternType="solid">
        <fgColor theme="3" tint="-0.249977111117893"/>
        <bgColor indexed="64"/>
      </patternFill>
    </fill>
    <fill>
      <patternFill patternType="solid">
        <fgColor rgb="FFCCFF99"/>
        <bgColor indexed="64"/>
      </patternFill>
    </fill>
    <fill>
      <patternFill patternType="solid">
        <fgColor rgb="FFFF9999"/>
        <bgColor indexed="64"/>
      </patternFill>
    </fill>
  </fills>
  <borders count="6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3"/>
      </left>
      <right style="thin">
        <color theme="3"/>
      </right>
      <top style="thin">
        <color theme="3"/>
      </top>
      <bottom style="thin">
        <color theme="3"/>
      </bottom>
      <diagonal/>
    </border>
    <border>
      <left/>
      <right style="medium">
        <color indexed="64"/>
      </right>
      <top style="medium">
        <color indexed="64"/>
      </top>
      <bottom style="medium">
        <color indexed="64"/>
      </bottom>
      <diagonal/>
    </border>
    <border>
      <left/>
      <right style="thin">
        <color theme="0"/>
      </right>
      <top/>
      <bottom/>
      <diagonal/>
    </border>
    <border>
      <left/>
      <right/>
      <top/>
      <bottom style="medium">
        <color indexed="64"/>
      </bottom>
      <diagonal/>
    </border>
    <border>
      <left/>
      <right style="medium">
        <color indexed="64"/>
      </right>
      <top/>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right/>
      <top style="thin">
        <color theme="6" tint="0.39997558519241921"/>
      </top>
      <bottom style="thin">
        <color theme="6" tint="0.39997558519241921"/>
      </bottom>
      <diagonal/>
    </border>
    <border>
      <left/>
      <right/>
      <top style="thin">
        <color theme="6" tint="0.39997558519241921"/>
      </top>
      <bottom/>
      <diagonal/>
    </border>
    <border>
      <left style="medium">
        <color indexed="64"/>
      </left>
      <right/>
      <top style="medium">
        <color indexed="64"/>
      </top>
      <bottom style="medium">
        <color indexed="64"/>
      </bottom>
      <diagonal/>
    </border>
    <border>
      <left/>
      <right/>
      <top style="thick">
        <color theme="3"/>
      </top>
      <bottom/>
      <diagonal/>
    </border>
    <border>
      <left/>
      <right/>
      <top style="thick">
        <color theme="0"/>
      </top>
      <bottom/>
      <diagonal/>
    </border>
    <border>
      <left style="thin">
        <color theme="0"/>
      </left>
      <right/>
      <top/>
      <bottom style="medium">
        <color indexed="64"/>
      </bottom>
      <diagonal/>
    </border>
    <border>
      <left/>
      <right style="thin">
        <color theme="0"/>
      </right>
      <top/>
      <bottom style="medium">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ck">
        <color theme="0"/>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theme="3"/>
      </left>
      <right style="medium">
        <color theme="1"/>
      </right>
      <top style="medium">
        <color theme="1"/>
      </top>
      <bottom style="medium">
        <color theme="1"/>
      </bottom>
      <diagonal/>
    </border>
    <border>
      <left style="medium">
        <color theme="3"/>
      </left>
      <right style="medium">
        <color theme="1"/>
      </right>
      <top style="medium">
        <color theme="1"/>
      </top>
      <bottom style="medium">
        <color theme="3"/>
      </bottom>
      <diagonal/>
    </border>
    <border>
      <left/>
      <right/>
      <top/>
      <bottom style="thick">
        <color theme="3"/>
      </bottom>
      <diagonal/>
    </border>
    <border>
      <left style="double">
        <color theme="3"/>
      </left>
      <right/>
      <top style="double">
        <color theme="3"/>
      </top>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theme="3"/>
      </right>
      <top/>
      <bottom style="thin">
        <color theme="3"/>
      </bottom>
      <diagonal/>
    </border>
    <border>
      <left style="thin">
        <color theme="3"/>
      </left>
      <right style="thin">
        <color theme="3"/>
      </right>
      <top/>
      <bottom style="thin">
        <color theme="3"/>
      </bottom>
      <diagonal/>
    </border>
    <border>
      <left style="thin">
        <color theme="3"/>
      </left>
      <right/>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diagonal/>
    </border>
    <border>
      <left style="thin">
        <color theme="3"/>
      </left>
      <right style="thin">
        <color theme="3"/>
      </right>
      <top style="thin">
        <color theme="3"/>
      </top>
      <bottom/>
      <diagonal/>
    </border>
    <border>
      <left style="thin">
        <color theme="3"/>
      </left>
      <right/>
      <top style="thin">
        <color theme="3"/>
      </top>
      <bottom/>
      <diagonal/>
    </border>
    <border>
      <left/>
      <right/>
      <top style="medium">
        <color theme="3" tint="0.79998168889431442"/>
      </top>
      <bottom/>
      <diagonal/>
    </border>
    <border>
      <left/>
      <right style="medium">
        <color theme="3" tint="0.79998168889431442"/>
      </right>
      <top style="medium">
        <color theme="3" tint="0.79998168889431442"/>
      </top>
      <bottom/>
      <diagonal/>
    </border>
    <border>
      <left/>
      <right style="medium">
        <color theme="3" tint="0.79998168889431442"/>
      </right>
      <top/>
      <bottom style="medium">
        <color theme="3" tint="0.79998168889431442"/>
      </bottom>
      <diagonal/>
    </border>
    <border>
      <left style="medium">
        <color theme="3" tint="0.79998168889431442"/>
      </left>
      <right/>
      <top style="medium">
        <color theme="3" tint="0.79998168889431442"/>
      </top>
      <bottom/>
      <diagonal/>
    </border>
    <border>
      <left style="medium">
        <color theme="3" tint="0.79998168889431442"/>
      </left>
      <right/>
      <top/>
      <bottom/>
      <diagonal/>
    </border>
    <border>
      <left/>
      <right style="medium">
        <color theme="3" tint="0.79998168889431442"/>
      </right>
      <top/>
      <bottom/>
      <diagonal/>
    </border>
    <border>
      <left style="medium">
        <color theme="3" tint="0.79998168889431442"/>
      </left>
      <right/>
      <top/>
      <bottom style="medium">
        <color theme="3" tint="0.79998168889431442"/>
      </bottom>
      <diagonal/>
    </border>
  </borders>
  <cellStyleXfs count="32">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5" fillId="10" borderId="0"/>
    <xf numFmtId="0" fontId="16" fillId="7" borderId="0"/>
    <xf numFmtId="2" fontId="16" fillId="11" borderId="0"/>
    <xf numFmtId="2" fontId="16" fillId="12" borderId="0"/>
    <xf numFmtId="0" fontId="17" fillId="13" borderId="0"/>
    <xf numFmtId="0" fontId="15" fillId="14" borderId="0"/>
    <xf numFmtId="2" fontId="16" fillId="15" borderId="0"/>
    <xf numFmtId="0" fontId="1" fillId="0" borderId="0"/>
    <xf numFmtId="0" fontId="18" fillId="0" borderId="0"/>
    <xf numFmtId="0" fontId="1" fillId="5" borderId="2">
      <alignment horizontal="center" vertical="center" wrapText="1"/>
      <protection hidden="1"/>
    </xf>
    <xf numFmtId="164" fontId="14" fillId="8" borderId="9" applyProtection="0">
      <alignment horizontal="center" vertical="center"/>
    </xf>
    <xf numFmtId="164" fontId="1" fillId="9" borderId="9"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0" fontId="19" fillId="16" borderId="0" applyNumberFormat="0" applyBorder="0" applyAlignment="0" applyProtection="0"/>
    <xf numFmtId="0" fontId="20" fillId="17" borderId="0" applyBorder="0" applyAlignment="0" applyProtection="0"/>
    <xf numFmtId="0" fontId="21" fillId="0" borderId="0" applyNumberFormat="0" applyFill="0" applyBorder="0" applyAlignment="0" applyProtection="0"/>
    <xf numFmtId="0" fontId="1" fillId="5" borderId="0"/>
    <xf numFmtId="0" fontId="22" fillId="18" borderId="0" applyNumberFormat="0" applyAlignment="0" applyProtection="0"/>
    <xf numFmtId="0" fontId="9" fillId="5" borderId="0" applyNumberFormat="0" applyBorder="0" applyAlignment="0" applyProtection="0"/>
    <xf numFmtId="0" fontId="23" fillId="0" borderId="0" applyNumberFormat="0" applyFill="0" applyProtection="0"/>
    <xf numFmtId="44" fontId="1" fillId="0" borderId="0" applyFont="0" applyFill="0" applyBorder="0" applyAlignment="0" applyProtection="0"/>
    <xf numFmtId="42"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29">
    <xf numFmtId="0" fontId="0" fillId="0" borderId="0" xfId="0"/>
    <xf numFmtId="0" fontId="0" fillId="0" borderId="0" xfId="0" applyAlignment="1">
      <alignment horizontal="center" vertical="center"/>
    </xf>
    <xf numFmtId="0" fontId="7" fillId="0" borderId="0" xfId="0" applyFont="1"/>
    <xf numFmtId="0" fontId="13" fillId="6" borderId="3" xfId="0" applyFont="1" applyFill="1" applyBorder="1" applyAlignment="1">
      <alignment horizontal="center" vertical="center"/>
    </xf>
    <xf numFmtId="0" fontId="0" fillId="0" borderId="0" xfId="0" applyAlignment="1">
      <alignment horizontal="center"/>
    </xf>
    <xf numFmtId="0" fontId="0" fillId="2" borderId="0" xfId="0" applyFill="1"/>
    <xf numFmtId="0" fontId="4" fillId="6" borderId="3" xfId="0" applyFont="1" applyFill="1" applyBorder="1" applyAlignment="1">
      <alignment horizontal="center" vertical="center"/>
    </xf>
    <xf numFmtId="0" fontId="12" fillId="0" borderId="0" xfId="0" applyFont="1" applyAlignment="1">
      <alignment vertical="top" wrapText="1"/>
    </xf>
    <xf numFmtId="0" fontId="0" fillId="0" borderId="0" xfId="0" applyAlignment="1">
      <alignment vertical="center"/>
    </xf>
    <xf numFmtId="0" fontId="0" fillId="0" borderId="0" xfId="0" applyAlignment="1">
      <alignment horizontal="left" vertical="top"/>
    </xf>
    <xf numFmtId="0" fontId="7" fillId="0" borderId="0" xfId="0" applyFont="1" applyAlignment="1">
      <alignment vertical="top" wrapText="1"/>
    </xf>
    <xf numFmtId="0" fontId="0" fillId="0" borderId="0" xfId="0" applyAlignment="1">
      <alignment vertical="top"/>
    </xf>
    <xf numFmtId="0" fontId="0" fillId="0" borderId="10" xfId="0" applyBorder="1" applyAlignment="1">
      <alignment vertical="top"/>
    </xf>
    <xf numFmtId="0" fontId="0" fillId="0" borderId="11" xfId="0" applyBorder="1" applyAlignment="1">
      <alignment vertical="top"/>
    </xf>
    <xf numFmtId="2" fontId="0" fillId="0" borderId="0" xfId="0" applyNumberFormat="1" applyAlignment="1">
      <alignment horizontal="left"/>
    </xf>
    <xf numFmtId="0" fontId="2" fillId="0" borderId="0" xfId="0" applyFont="1" applyAlignment="1">
      <alignment horizontal="center" vertical="center"/>
    </xf>
    <xf numFmtId="0" fontId="4" fillId="0" borderId="0" xfId="0" applyFont="1" applyAlignment="1">
      <alignment horizontal="center" vertical="center"/>
    </xf>
    <xf numFmtId="0" fontId="11" fillId="0" borderId="0" xfId="0" applyFont="1"/>
    <xf numFmtId="0" fontId="25" fillId="0" borderId="0" xfId="0" applyFont="1"/>
    <xf numFmtId="0" fontId="10" fillId="0" borderId="0" xfId="0" applyFont="1" applyAlignment="1">
      <alignment horizontal="center" vertical="center" wrapText="1"/>
    </xf>
    <xf numFmtId="0" fontId="11" fillId="0" borderId="13" xfId="0" applyFont="1" applyBorder="1"/>
    <xf numFmtId="0" fontId="25" fillId="0" borderId="13" xfId="0" applyFont="1" applyBorder="1"/>
    <xf numFmtId="2" fontId="0" fillId="0" borderId="0" xfId="0" applyNumberFormat="1"/>
    <xf numFmtId="0" fontId="0" fillId="7" borderId="0" xfId="0" applyFill="1"/>
    <xf numFmtId="0" fontId="28" fillId="0" borderId="0" xfId="0" applyFont="1" applyAlignment="1">
      <alignment horizontal="center" vertical="center" textRotation="90"/>
    </xf>
    <xf numFmtId="0" fontId="28" fillId="21" borderId="0" xfId="0" applyFont="1" applyFill="1" applyAlignment="1">
      <alignment horizontal="right" vertical="center" indent="1"/>
    </xf>
    <xf numFmtId="2" fontId="10" fillId="0" borderId="0" xfId="0" applyNumberFormat="1" applyFont="1" applyAlignment="1">
      <alignment vertical="center" wrapText="1"/>
    </xf>
    <xf numFmtId="0" fontId="28" fillId="0" borderId="13" xfId="0" applyFont="1" applyBorder="1" applyAlignment="1">
      <alignment horizontal="center" vertical="center" textRotation="90"/>
    </xf>
    <xf numFmtId="0" fontId="5" fillId="0" borderId="0" xfId="0" applyFont="1" applyAlignment="1">
      <alignment horizontal="center" vertical="center"/>
    </xf>
    <xf numFmtId="0" fontId="11" fillId="0" borderId="0" xfId="0" applyFont="1" applyAlignment="1">
      <alignment horizontal="center" vertical="center" wrapText="1"/>
    </xf>
    <xf numFmtId="0" fontId="5" fillId="2" borderId="0" xfId="0" applyFont="1" applyFill="1" applyAlignment="1">
      <alignment horizontal="center" vertical="center"/>
    </xf>
    <xf numFmtId="0" fontId="2" fillId="0" borderId="0" xfId="0" applyFont="1" applyAlignment="1">
      <alignment vertical="center" wrapText="1"/>
    </xf>
    <xf numFmtId="0" fontId="7" fillId="0" borderId="0" xfId="0" applyFont="1" applyAlignment="1">
      <alignment vertical="center"/>
    </xf>
    <xf numFmtId="0" fontId="0" fillId="4" borderId="17" xfId="0" applyFill="1" applyBorder="1"/>
    <xf numFmtId="0" fontId="0" fillId="4" borderId="18" xfId="0" applyFill="1" applyBorder="1"/>
    <xf numFmtId="0" fontId="0" fillId="4" borderId="19" xfId="0" applyFill="1" applyBorder="1"/>
    <xf numFmtId="0" fontId="0" fillId="4" borderId="20" xfId="0" applyFill="1" applyBorder="1"/>
    <xf numFmtId="0" fontId="0" fillId="4" borderId="0" xfId="0" applyFill="1"/>
    <xf numFmtId="0" fontId="0" fillId="4" borderId="21" xfId="0" applyFill="1" applyBorder="1"/>
    <xf numFmtId="0" fontId="0" fillId="4" borderId="22" xfId="0" applyFill="1" applyBorder="1"/>
    <xf numFmtId="0" fontId="0" fillId="4" borderId="23" xfId="0" applyFill="1" applyBorder="1"/>
    <xf numFmtId="0" fontId="0" fillId="4" borderId="24" xfId="0" applyFill="1" applyBorder="1"/>
    <xf numFmtId="0" fontId="7" fillId="4" borderId="18" xfId="0" applyFont="1" applyFill="1" applyBorder="1" applyAlignment="1">
      <alignment vertical="center"/>
    </xf>
    <xf numFmtId="0" fontId="7" fillId="4" borderId="19" xfId="0" applyFont="1" applyFill="1" applyBorder="1" applyAlignment="1">
      <alignment vertical="center"/>
    </xf>
    <xf numFmtId="0" fontId="7" fillId="4" borderId="20" xfId="0" applyFont="1" applyFill="1" applyBorder="1" applyAlignment="1">
      <alignment vertical="center"/>
    </xf>
    <xf numFmtId="0" fontId="7" fillId="4" borderId="21" xfId="0" applyFont="1" applyFill="1" applyBorder="1" applyAlignment="1">
      <alignment vertical="center"/>
    </xf>
    <xf numFmtId="0" fontId="7" fillId="4" borderId="22" xfId="0" applyFont="1" applyFill="1" applyBorder="1" applyAlignment="1">
      <alignment vertical="center"/>
    </xf>
    <xf numFmtId="0" fontId="7" fillId="4" borderId="23" xfId="0" applyFont="1" applyFill="1" applyBorder="1" applyAlignment="1">
      <alignment vertical="center"/>
    </xf>
    <xf numFmtId="0" fontId="7" fillId="4" borderId="24" xfId="0" applyFont="1" applyFill="1" applyBorder="1" applyAlignment="1">
      <alignment vertical="center"/>
    </xf>
    <xf numFmtId="0" fontId="6" fillId="4" borderId="17" xfId="0" applyFont="1" applyFill="1" applyBorder="1" applyAlignment="1">
      <alignment vertical="center"/>
    </xf>
    <xf numFmtId="0" fontId="30" fillId="2" borderId="0" xfId="3" applyFont="1" applyFill="1" applyAlignment="1">
      <alignment horizontal="left" vertical="top" wrapText="1"/>
    </xf>
    <xf numFmtId="0" fontId="4" fillId="3" borderId="0" xfId="0" applyFont="1" applyFill="1" applyAlignment="1">
      <alignment horizontal="center" vertical="center" wrapText="1"/>
    </xf>
    <xf numFmtId="2" fontId="32" fillId="2" borderId="0" xfId="0" applyNumberFormat="1" applyFont="1" applyFill="1" applyAlignment="1">
      <alignment horizontal="left" vertical="top" wrapText="1"/>
    </xf>
    <xf numFmtId="165" fontId="1" fillId="4" borderId="0" xfId="0" applyNumberFormat="1" applyFont="1" applyFill="1" applyAlignment="1">
      <alignment horizontal="right"/>
    </xf>
    <xf numFmtId="0" fontId="0" fillId="4" borderId="0" xfId="0" applyFill="1" applyAlignment="1">
      <alignment horizontal="right"/>
    </xf>
    <xf numFmtId="0" fontId="7" fillId="7" borderId="0" xfId="0" applyFont="1" applyFill="1" applyAlignment="1">
      <alignment horizontal="center" vertical="center"/>
    </xf>
    <xf numFmtId="16" fontId="7" fillId="7" borderId="0" xfId="0" applyNumberFormat="1" applyFont="1" applyFill="1" applyAlignment="1">
      <alignment horizontal="center" vertical="center"/>
    </xf>
    <xf numFmtId="14" fontId="7" fillId="7" borderId="0" xfId="0" applyNumberFormat="1" applyFont="1" applyFill="1" applyAlignment="1">
      <alignment horizontal="center" vertical="center"/>
    </xf>
    <xf numFmtId="2" fontId="7" fillId="7" borderId="0" xfId="0" applyNumberFormat="1" applyFont="1" applyFill="1" applyAlignment="1">
      <alignment horizontal="center" vertical="center"/>
    </xf>
    <xf numFmtId="16" fontId="7" fillId="0" borderId="0" xfId="0" applyNumberFormat="1" applyFont="1" applyAlignment="1">
      <alignment horizontal="center" vertical="center"/>
    </xf>
    <xf numFmtId="165" fontId="0" fillId="0" borderId="0" xfId="1" applyNumberFormat="1" applyFont="1"/>
    <xf numFmtId="16" fontId="7" fillId="0" borderId="0" xfId="0" applyNumberFormat="1" applyFont="1" applyAlignment="1">
      <alignment vertical="center"/>
    </xf>
    <xf numFmtId="165" fontId="4" fillId="0" borderId="0" xfId="1" applyNumberFormat="1" applyFont="1" applyFill="1" applyAlignment="1"/>
    <xf numFmtId="165" fontId="4" fillId="0" borderId="0" xfId="1" applyNumberFormat="1" applyFont="1" applyFill="1" applyAlignment="1">
      <alignment horizontal="center"/>
    </xf>
    <xf numFmtId="16" fontId="26" fillId="0" borderId="0" xfId="0" applyNumberFormat="1" applyFont="1" applyAlignment="1">
      <alignment vertical="center" wrapText="1"/>
    </xf>
    <xf numFmtId="165" fontId="0" fillId="0" borderId="0" xfId="1" applyNumberFormat="1" applyFont="1" applyFill="1"/>
    <xf numFmtId="0" fontId="25" fillId="0" borderId="0" xfId="0" applyFont="1" applyAlignment="1">
      <alignment horizontal="left"/>
    </xf>
    <xf numFmtId="0" fontId="25" fillId="0" borderId="0" xfId="0" applyFont="1" applyAlignment="1">
      <alignment horizontal="left" vertical="center"/>
    </xf>
    <xf numFmtId="0" fontId="32" fillId="0" borderId="0" xfId="0" applyFont="1" applyAlignment="1">
      <alignment horizontal="left"/>
    </xf>
    <xf numFmtId="0" fontId="32" fillId="0" borderId="0" xfId="0" applyFont="1" applyAlignment="1">
      <alignment horizontal="left" vertical="center"/>
    </xf>
    <xf numFmtId="0" fontId="33" fillId="0" borderId="0" xfId="3" applyFont="1" applyFill="1" applyBorder="1" applyAlignment="1">
      <alignment horizontal="left"/>
    </xf>
    <xf numFmtId="14" fontId="25" fillId="0" borderId="0" xfId="0" applyNumberFormat="1" applyFont="1" applyAlignment="1">
      <alignment horizontal="left"/>
    </xf>
    <xf numFmtId="166" fontId="25" fillId="0" borderId="0" xfId="0" applyNumberFormat="1" applyFont="1" applyAlignment="1">
      <alignment horizontal="left" vertical="center"/>
    </xf>
    <xf numFmtId="43" fontId="25" fillId="0" borderId="0" xfId="31" applyFont="1" applyFill="1" applyBorder="1" applyAlignment="1">
      <alignment horizontal="left" vertical="center"/>
    </xf>
    <xf numFmtId="44" fontId="25" fillId="0" borderId="0" xfId="1" applyFont="1" applyFill="1" applyBorder="1" applyAlignment="1">
      <alignment horizontal="left" vertical="center"/>
    </xf>
    <xf numFmtId="165" fontId="25" fillId="0" borderId="0" xfId="1" applyNumberFormat="1" applyFont="1" applyFill="1" applyBorder="1" applyAlignment="1">
      <alignment horizontal="left" vertical="center"/>
    </xf>
    <xf numFmtId="0" fontId="34" fillId="0" borderId="0" xfId="3" applyFont="1" applyFill="1" applyBorder="1" applyAlignment="1">
      <alignment horizontal="left"/>
    </xf>
    <xf numFmtId="14" fontId="0" fillId="0" borderId="0" xfId="0" applyNumberFormat="1"/>
    <xf numFmtId="44" fontId="4" fillId="7" borderId="0" xfId="1" applyFont="1" applyFill="1"/>
    <xf numFmtId="0" fontId="0" fillId="7" borderId="0" xfId="0" applyFill="1" applyAlignment="1">
      <alignment horizontal="center" vertical="center"/>
    </xf>
    <xf numFmtId="0" fontId="4" fillId="2" borderId="3" xfId="0" applyFont="1" applyFill="1" applyBorder="1" applyAlignment="1">
      <alignment horizontal="center" vertical="center"/>
    </xf>
    <xf numFmtId="0" fontId="2" fillId="2" borderId="0" xfId="0" applyFont="1" applyFill="1"/>
    <xf numFmtId="0" fontId="6" fillId="4" borderId="18" xfId="0" applyFont="1" applyFill="1" applyBorder="1" applyAlignment="1">
      <alignment vertical="center"/>
    </xf>
    <xf numFmtId="0" fontId="30" fillId="0" borderId="0" xfId="3" applyFont="1" applyFill="1" applyBorder="1" applyAlignment="1">
      <alignment horizontal="center" vertical="center" wrapText="1"/>
    </xf>
    <xf numFmtId="2" fontId="11" fillId="0" borderId="0" xfId="0" applyNumberFormat="1" applyFont="1" applyAlignment="1">
      <alignment horizontal="center" vertical="center" wrapText="1"/>
    </xf>
    <xf numFmtId="2" fontId="10" fillId="0" borderId="0" xfId="0" applyNumberFormat="1" applyFont="1" applyAlignment="1">
      <alignment horizontal="center" vertical="center" wrapText="1"/>
    </xf>
    <xf numFmtId="0" fontId="28" fillId="0" borderId="26" xfId="0" applyFont="1" applyBorder="1" applyAlignment="1">
      <alignment horizontal="center" vertical="center" textRotation="90"/>
    </xf>
    <xf numFmtId="0" fontId="28" fillId="0" borderId="27" xfId="0" applyFont="1" applyBorder="1" applyAlignment="1">
      <alignment horizontal="center" vertical="center" textRotation="90"/>
    </xf>
    <xf numFmtId="0" fontId="0" fillId="0" borderId="27" xfId="0" applyBorder="1"/>
    <xf numFmtId="0" fontId="36" fillId="0" borderId="27" xfId="0" applyFont="1" applyBorder="1"/>
    <xf numFmtId="0" fontId="7" fillId="0" borderId="27" xfId="0" applyFont="1" applyBorder="1"/>
    <xf numFmtId="0" fontId="28" fillId="0" borderId="29" xfId="0" applyFont="1" applyBorder="1" applyAlignment="1">
      <alignment horizontal="center" vertical="center" textRotation="90"/>
    </xf>
    <xf numFmtId="2" fontId="10" fillId="0" borderId="30" xfId="0" applyNumberFormat="1" applyFont="1" applyBorder="1" applyAlignment="1">
      <alignment vertical="center" wrapText="1"/>
    </xf>
    <xf numFmtId="0" fontId="28" fillId="0" borderId="31" xfId="0" applyFont="1" applyBorder="1" applyAlignment="1">
      <alignment horizontal="center" vertical="center" textRotation="90"/>
    </xf>
    <xf numFmtId="0" fontId="30" fillId="0" borderId="32" xfId="3" applyFont="1" applyFill="1" applyBorder="1" applyAlignment="1">
      <alignment horizontal="center" vertical="center" wrapText="1"/>
    </xf>
    <xf numFmtId="0" fontId="11" fillId="0" borderId="32" xfId="0" applyFont="1" applyBorder="1" applyAlignment="1">
      <alignment horizontal="center" vertical="center" wrapText="1"/>
    </xf>
    <xf numFmtId="2" fontId="11" fillId="0" borderId="32" xfId="0" applyNumberFormat="1" applyFont="1" applyBorder="1" applyAlignment="1">
      <alignment horizontal="center" vertical="center" wrapText="1"/>
    </xf>
    <xf numFmtId="0" fontId="25" fillId="0" borderId="32" xfId="0" applyFont="1" applyBorder="1"/>
    <xf numFmtId="0" fontId="11" fillId="0" borderId="32" xfId="0" applyFont="1" applyBorder="1"/>
    <xf numFmtId="2" fontId="10" fillId="0" borderId="33" xfId="0" applyNumberFormat="1" applyFont="1" applyBorder="1" applyAlignment="1">
      <alignment vertical="center" wrapText="1"/>
    </xf>
    <xf numFmtId="0" fontId="7" fillId="0" borderId="28" xfId="0" applyFont="1" applyBorder="1"/>
    <xf numFmtId="0" fontId="10" fillId="0" borderId="30"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0" xfId="0" applyFont="1" applyBorder="1"/>
    <xf numFmtId="0" fontId="27" fillId="7" borderId="30" xfId="0" applyFont="1" applyFill="1" applyBorder="1" applyAlignment="1">
      <alignment horizontal="left" vertical="center"/>
    </xf>
    <xf numFmtId="2" fontId="25" fillId="7" borderId="29" xfId="0" applyNumberFormat="1" applyFont="1" applyFill="1" applyBorder="1" applyAlignment="1">
      <alignment horizontal="center" vertical="center"/>
    </xf>
    <xf numFmtId="2" fontId="27" fillId="7" borderId="30" xfId="0" applyNumberFormat="1" applyFont="1" applyFill="1" applyBorder="1" applyAlignment="1">
      <alignment horizontal="left" vertical="center"/>
    </xf>
    <xf numFmtId="0" fontId="27" fillId="7" borderId="33" xfId="0" applyFont="1" applyFill="1" applyBorder="1" applyAlignment="1">
      <alignment horizontal="left"/>
    </xf>
    <xf numFmtId="0" fontId="11" fillId="0" borderId="27" xfId="0" applyFont="1" applyBorder="1"/>
    <xf numFmtId="0" fontId="25" fillId="0" borderId="27" xfId="0" applyFont="1" applyBorder="1"/>
    <xf numFmtId="0" fontId="25" fillId="0" borderId="28" xfId="0" applyFont="1" applyBorder="1"/>
    <xf numFmtId="0" fontId="10" fillId="3" borderId="0" xfId="0" applyFont="1" applyFill="1" applyAlignment="1">
      <alignment horizontal="center" vertical="center"/>
    </xf>
    <xf numFmtId="0" fontId="26" fillId="0" borderId="30" xfId="0" applyFont="1" applyBorder="1" applyAlignment="1">
      <alignment horizontal="center" vertical="center"/>
    </xf>
    <xf numFmtId="0" fontId="25" fillId="0" borderId="30" xfId="0" applyFont="1" applyBorder="1" applyAlignment="1">
      <alignment horizontal="center" vertical="center"/>
    </xf>
    <xf numFmtId="0" fontId="11" fillId="21" borderId="0" xfId="0" applyFont="1" applyFill="1" applyAlignment="1">
      <alignment horizontal="center"/>
    </xf>
    <xf numFmtId="0" fontId="27" fillId="0" borderId="30" xfId="0" applyFont="1" applyBorder="1" applyAlignment="1">
      <alignment horizontal="left" vertical="center"/>
    </xf>
    <xf numFmtId="0" fontId="27" fillId="0" borderId="0" xfId="0" applyFont="1"/>
    <xf numFmtId="0" fontId="27" fillId="21" borderId="0" xfId="0" applyFont="1" applyFill="1" applyAlignment="1">
      <alignment horizontal="left" vertical="top"/>
    </xf>
    <xf numFmtId="0" fontId="25" fillId="22" borderId="0" xfId="0" applyFont="1" applyFill="1" applyAlignment="1">
      <alignment horizontal="center"/>
    </xf>
    <xf numFmtId="2" fontId="27" fillId="0" borderId="30" xfId="0" applyNumberFormat="1" applyFont="1" applyBorder="1" applyAlignment="1">
      <alignment horizontal="left" vertical="center"/>
    </xf>
    <xf numFmtId="0" fontId="0" fillId="22" borderId="0" xfId="0" applyFill="1"/>
    <xf numFmtId="0" fontId="27" fillId="22" borderId="0" xfId="0" applyFont="1" applyFill="1" applyAlignment="1">
      <alignment horizontal="left" vertical="top"/>
    </xf>
    <xf numFmtId="0" fontId="27" fillId="0" borderId="30" xfId="0" applyFont="1" applyBorder="1" applyAlignment="1">
      <alignment horizontal="left"/>
    </xf>
    <xf numFmtId="2" fontId="25" fillId="19" borderId="0" xfId="0" applyNumberFormat="1" applyFont="1" applyFill="1" applyAlignment="1">
      <alignment horizontal="center"/>
    </xf>
    <xf numFmtId="0" fontId="0" fillId="0" borderId="30" xfId="0" applyBorder="1"/>
    <xf numFmtId="0" fontId="3" fillId="0" borderId="30" xfId="0" applyFont="1" applyBorder="1" applyAlignment="1">
      <alignment horizontal="left" vertical="top" wrapText="1"/>
    </xf>
    <xf numFmtId="0" fontId="28" fillId="19" borderId="32" xfId="0" applyFont="1" applyFill="1" applyBorder="1" applyAlignment="1">
      <alignment horizontal="center" vertical="center" textRotation="90"/>
    </xf>
    <xf numFmtId="0" fontId="11" fillId="19" borderId="32" xfId="0" applyFont="1" applyFill="1" applyBorder="1"/>
    <xf numFmtId="0" fontId="25" fillId="19" borderId="32" xfId="0" applyFont="1" applyFill="1" applyBorder="1"/>
    <xf numFmtId="0" fontId="27" fillId="19" borderId="32" xfId="0" applyFont="1" applyFill="1" applyBorder="1" applyAlignment="1">
      <alignment horizontal="left" vertical="top"/>
    </xf>
    <xf numFmtId="0" fontId="3" fillId="0" borderId="33" xfId="0" applyFont="1" applyBorder="1" applyAlignment="1">
      <alignment horizontal="left" vertical="top" wrapText="1"/>
    </xf>
    <xf numFmtId="0" fontId="11" fillId="0" borderId="0" xfId="0" applyFont="1" applyAlignment="1">
      <alignment horizontal="right"/>
    </xf>
    <xf numFmtId="0" fontId="29" fillId="0" borderId="0" xfId="0" applyFont="1" applyAlignment="1">
      <alignment horizontal="left"/>
    </xf>
    <xf numFmtId="0" fontId="10" fillId="0" borderId="30" xfId="0" applyFont="1" applyBorder="1" applyAlignment="1">
      <alignment horizontal="center" vertical="center"/>
    </xf>
    <xf numFmtId="2" fontId="11" fillId="7" borderId="0" xfId="0" applyNumberFormat="1" applyFont="1" applyFill="1" applyAlignment="1">
      <alignment horizontal="center" vertical="center"/>
    </xf>
    <xf numFmtId="2" fontId="26" fillId="0" borderId="0" xfId="0" applyNumberFormat="1" applyFont="1" applyAlignment="1">
      <alignment horizontal="left"/>
    </xf>
    <xf numFmtId="2" fontId="11" fillId="0" borderId="30" xfId="0" applyNumberFormat="1" applyFont="1" applyBorder="1" applyAlignment="1">
      <alignment horizontal="center"/>
    </xf>
    <xf numFmtId="0" fontId="26" fillId="0" borderId="0" xfId="0" applyFont="1"/>
    <xf numFmtId="0" fontId="25" fillId="0" borderId="30" xfId="0" applyFont="1" applyBorder="1"/>
    <xf numFmtId="0" fontId="28" fillId="0" borderId="32" xfId="0" applyFont="1" applyBorder="1" applyAlignment="1">
      <alignment horizontal="center" vertical="center" textRotation="90"/>
    </xf>
    <xf numFmtId="0" fontId="0" fillId="0" borderId="32" xfId="0" applyBorder="1"/>
    <xf numFmtId="0" fontId="0" fillId="0" borderId="33" xfId="0" applyBorder="1"/>
    <xf numFmtId="0" fontId="0" fillId="0" borderId="26" xfId="0" applyBorder="1"/>
    <xf numFmtId="0" fontId="11" fillId="0" borderId="29" xfId="0" applyFont="1" applyBorder="1"/>
    <xf numFmtId="0" fontId="11" fillId="0" borderId="31" xfId="0" applyFont="1" applyBorder="1"/>
    <xf numFmtId="0" fontId="25" fillId="19" borderId="0" xfId="0" applyFont="1" applyFill="1" applyAlignment="1">
      <alignment horizontal="center"/>
    </xf>
    <xf numFmtId="0" fontId="0" fillId="0" borderId="29" xfId="0" applyBorder="1"/>
    <xf numFmtId="0" fontId="0" fillId="0" borderId="31" xfId="0" applyBorder="1"/>
    <xf numFmtId="0" fontId="28" fillId="0" borderId="36" xfId="0" applyFont="1" applyBorder="1" applyAlignment="1">
      <alignment horizontal="center" vertical="center" textRotation="90"/>
    </xf>
    <xf numFmtId="0" fontId="0" fillId="0" borderId="36" xfId="0" applyBorder="1"/>
    <xf numFmtId="0" fontId="27" fillId="0" borderId="36" xfId="0" applyFont="1" applyBorder="1" applyAlignment="1">
      <alignment horizontal="left" vertical="top"/>
    </xf>
    <xf numFmtId="0" fontId="25" fillId="0" borderId="36" xfId="0" applyFont="1" applyBorder="1"/>
    <xf numFmtId="44" fontId="1" fillId="7" borderId="0" xfId="1" applyFont="1" applyFill="1" applyBorder="1" applyAlignment="1">
      <alignment vertical="center" wrapText="1"/>
    </xf>
    <xf numFmtId="0" fontId="31" fillId="4" borderId="0" xfId="0" applyFont="1" applyFill="1" applyAlignment="1">
      <alignment vertical="center" wrapText="1"/>
    </xf>
    <xf numFmtId="2" fontId="10" fillId="0" borderId="13" xfId="0" applyNumberFormat="1" applyFont="1" applyBorder="1" applyAlignment="1">
      <alignment vertical="center" wrapText="1"/>
    </xf>
    <xf numFmtId="9" fontId="26" fillId="0" borderId="0" xfId="2" applyFont="1" applyBorder="1" applyAlignment="1">
      <alignment horizontal="left" vertical="center"/>
    </xf>
    <xf numFmtId="9" fontId="26" fillId="0" borderId="32" xfId="2" applyFont="1" applyBorder="1" applyAlignment="1">
      <alignment horizontal="left" vertical="center"/>
    </xf>
    <xf numFmtId="2" fontId="11" fillId="0" borderId="32" xfId="0" applyNumberFormat="1" applyFont="1" applyBorder="1" applyAlignment="1">
      <alignment vertical="center" wrapText="1"/>
    </xf>
    <xf numFmtId="0" fontId="27" fillId="0" borderId="0" xfId="0" applyFont="1" applyAlignment="1">
      <alignment vertical="center" wrapText="1"/>
    </xf>
    <xf numFmtId="0" fontId="10" fillId="3" borderId="0" xfId="0" applyFont="1" applyFill="1" applyAlignment="1">
      <alignment horizontal="center" wrapText="1"/>
    </xf>
    <xf numFmtId="10" fontId="25" fillId="0" borderId="0" xfId="2" applyNumberFormat="1" applyFont="1" applyBorder="1" applyAlignment="1">
      <alignment horizontal="center" vertical="center"/>
    </xf>
    <xf numFmtId="10" fontId="25" fillId="0" borderId="32" xfId="2" applyNumberFormat="1" applyFont="1" applyBorder="1" applyAlignment="1">
      <alignment horizontal="center" vertical="center"/>
    </xf>
    <xf numFmtId="0" fontId="11" fillId="0" borderId="48" xfId="0" applyFont="1" applyBorder="1" applyAlignment="1">
      <alignment horizontal="center" vertical="center"/>
    </xf>
    <xf numFmtId="0" fontId="25" fillId="0" borderId="48" xfId="0" applyFont="1" applyBorder="1" applyAlignment="1">
      <alignment horizontal="center" vertical="center"/>
    </xf>
    <xf numFmtId="0" fontId="25" fillId="0" borderId="48" xfId="0" applyFont="1" applyBorder="1" applyAlignment="1">
      <alignment horizontal="center" vertical="center" wrapText="1"/>
    </xf>
    <xf numFmtId="0" fontId="11" fillId="0" borderId="49" xfId="0" applyFont="1" applyBorder="1" applyAlignment="1">
      <alignment horizontal="center" vertical="center"/>
    </xf>
    <xf numFmtId="0" fontId="0" fillId="0" borderId="50" xfId="0" applyBorder="1" applyAlignment="1">
      <alignment horizontal="center" vertical="center"/>
    </xf>
    <xf numFmtId="0" fontId="11" fillId="0" borderId="7" xfId="0" applyFont="1" applyBorder="1" applyAlignment="1">
      <alignment horizontal="center" vertical="center"/>
    </xf>
    <xf numFmtId="0" fontId="11" fillId="0" borderId="51" xfId="0" applyFont="1" applyBorder="1" applyAlignment="1">
      <alignment horizontal="left"/>
    </xf>
    <xf numFmtId="0" fontId="0" fillId="7" borderId="0" xfId="0" applyFill="1" applyAlignment="1">
      <alignment horizontal="center"/>
    </xf>
    <xf numFmtId="0" fontId="25" fillId="23" borderId="34" xfId="0" applyFont="1" applyFill="1" applyBorder="1" applyAlignment="1" applyProtection="1">
      <alignment horizontal="center" vertical="center"/>
      <protection locked="0"/>
    </xf>
    <xf numFmtId="0" fontId="25" fillId="23" borderId="35" xfId="0" applyFont="1" applyFill="1" applyBorder="1" applyProtection="1">
      <protection locked="0"/>
    </xf>
    <xf numFmtId="0" fontId="11" fillId="23" borderId="1" xfId="0" applyFont="1" applyFill="1" applyBorder="1" applyAlignment="1" applyProtection="1">
      <alignment horizontal="center"/>
      <protection locked="0"/>
    </xf>
    <xf numFmtId="0" fontId="7" fillId="7" borderId="0" xfId="0" applyFont="1" applyFill="1" applyAlignment="1">
      <alignment horizontal="left" vertical="top" wrapText="1"/>
    </xf>
    <xf numFmtId="0" fontId="7" fillId="7" borderId="0" xfId="0" applyFont="1" applyFill="1" applyAlignment="1">
      <alignment horizontal="left" vertical="top"/>
    </xf>
    <xf numFmtId="0" fontId="5" fillId="0" borderId="0" xfId="0" applyFont="1" applyAlignment="1">
      <alignment vertical="center"/>
    </xf>
    <xf numFmtId="0" fontId="5" fillId="2" borderId="0" xfId="0" applyFont="1" applyFill="1" applyAlignment="1">
      <alignment horizontal="left" vertical="top"/>
    </xf>
    <xf numFmtId="0" fontId="0" fillId="7" borderId="0" xfId="0" applyFill="1" applyAlignment="1">
      <alignment horizontal="left" vertical="top"/>
    </xf>
    <xf numFmtId="0" fontId="5" fillId="0" borderId="0" xfId="0" applyFont="1" applyAlignment="1">
      <alignment horizontal="left" vertical="top"/>
    </xf>
    <xf numFmtId="0" fontId="0" fillId="4" borderId="0" xfId="0" applyFill="1" applyAlignment="1">
      <alignment horizontal="left" vertical="top"/>
    </xf>
    <xf numFmtId="0" fontId="5" fillId="2" borderId="0" xfId="0" applyFont="1" applyFill="1"/>
    <xf numFmtId="0" fontId="11" fillId="0" borderId="47" xfId="0" applyFont="1" applyBorder="1" applyAlignment="1">
      <alignment horizontal="center" vertical="center"/>
    </xf>
    <xf numFmtId="0" fontId="4" fillId="0" borderId="0" xfId="0" applyFont="1" applyAlignment="1">
      <alignment horizontal="center" vertical="center" wrapText="1"/>
    </xf>
    <xf numFmtId="0" fontId="51" fillId="3" borderId="0" xfId="0" applyFont="1" applyFill="1" applyAlignment="1">
      <alignment horizontal="center" vertical="center" wrapText="1"/>
    </xf>
    <xf numFmtId="165" fontId="3" fillId="4" borderId="0" xfId="0" applyNumberFormat="1" applyFont="1" applyFill="1" applyAlignment="1">
      <alignment horizontal="right"/>
    </xf>
    <xf numFmtId="0" fontId="3" fillId="4" borderId="0" xfId="0" applyFont="1" applyFill="1" applyAlignment="1">
      <alignment horizontal="right"/>
    </xf>
    <xf numFmtId="44" fontId="51" fillId="7" borderId="0" xfId="1" applyFont="1" applyFill="1"/>
    <xf numFmtId="165" fontId="27" fillId="0" borderId="0" xfId="1" applyNumberFormat="1" applyFont="1" applyAlignment="1">
      <alignment vertical="top"/>
    </xf>
    <xf numFmtId="44" fontId="0" fillId="0" borderId="0" xfId="0" applyNumberFormat="1"/>
    <xf numFmtId="0" fontId="37" fillId="4" borderId="23" xfId="0" applyFont="1" applyFill="1" applyBorder="1"/>
    <xf numFmtId="0" fontId="0" fillId="2" borderId="52"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54" xfId="0" applyFill="1" applyBorder="1" applyAlignment="1">
      <alignment horizontal="center" vertical="center" wrapText="1"/>
    </xf>
    <xf numFmtId="0" fontId="0" fillId="7" borderId="55" xfId="0" applyFill="1" applyBorder="1" applyAlignment="1">
      <alignment horizontal="left" vertical="center"/>
    </xf>
    <xf numFmtId="0" fontId="0" fillId="7" borderId="3" xfId="0" applyFill="1" applyBorder="1" applyAlignment="1">
      <alignment horizontal="center" vertical="center"/>
    </xf>
    <xf numFmtId="0" fontId="0" fillId="7" borderId="3" xfId="0" applyFill="1" applyBorder="1" applyAlignment="1">
      <alignment horizontal="center"/>
    </xf>
    <xf numFmtId="0" fontId="7" fillId="7" borderId="56" xfId="0" applyFont="1" applyFill="1" applyBorder="1" applyAlignment="1">
      <alignment horizontal="center" vertical="center"/>
    </xf>
    <xf numFmtId="0" fontId="0" fillId="4" borderId="55" xfId="0" applyFill="1" applyBorder="1" applyAlignment="1">
      <alignment horizontal="left"/>
    </xf>
    <xf numFmtId="0" fontId="0" fillId="4" borderId="3" xfId="0" applyFill="1" applyBorder="1" applyAlignment="1">
      <alignment horizontal="center" vertical="center"/>
    </xf>
    <xf numFmtId="0" fontId="0" fillId="4" borderId="3" xfId="0" applyFill="1" applyBorder="1" applyAlignment="1">
      <alignment horizontal="center"/>
    </xf>
    <xf numFmtId="0" fontId="7" fillId="4" borderId="56" xfId="0" applyFont="1" applyFill="1" applyBorder="1" applyAlignment="1">
      <alignment horizontal="center" vertical="center"/>
    </xf>
    <xf numFmtId="0" fontId="0" fillId="7" borderId="55" xfId="0" applyFill="1" applyBorder="1" applyAlignment="1">
      <alignment horizontal="left"/>
    </xf>
    <xf numFmtId="0" fontId="0" fillId="4" borderId="55" xfId="0" applyFill="1" applyBorder="1" applyAlignment="1">
      <alignment horizontal="left" vertical="center"/>
    </xf>
    <xf numFmtId="0" fontId="0" fillId="4" borderId="56" xfId="0" applyFill="1" applyBorder="1" applyAlignment="1">
      <alignment horizontal="center" vertical="center"/>
    </xf>
    <xf numFmtId="0" fontId="7" fillId="7" borderId="3"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55" xfId="0" applyFont="1" applyFill="1" applyBorder="1" applyAlignment="1">
      <alignment horizontal="left" vertical="center"/>
    </xf>
    <xf numFmtId="0" fontId="0" fillId="4" borderId="3" xfId="0" applyFill="1" applyBorder="1"/>
    <xf numFmtId="0" fontId="7" fillId="7" borderId="55" xfId="0" applyFont="1" applyFill="1" applyBorder="1" applyAlignment="1">
      <alignment horizontal="left" vertical="center"/>
    </xf>
    <xf numFmtId="0" fontId="0" fillId="7" borderId="3" xfId="0" applyFill="1" applyBorder="1"/>
    <xf numFmtId="0" fontId="0" fillId="7" borderId="56" xfId="0" applyFill="1" applyBorder="1" applyAlignment="1">
      <alignment horizontal="center" vertical="center"/>
    </xf>
    <xf numFmtId="0" fontId="7" fillId="7" borderId="57" xfId="0" applyFont="1" applyFill="1" applyBorder="1" applyAlignment="1">
      <alignment horizontal="left" vertical="center"/>
    </xf>
    <xf numFmtId="0" fontId="7" fillId="7" borderId="58" xfId="0" applyFont="1" applyFill="1" applyBorder="1" applyAlignment="1">
      <alignment horizontal="center" vertical="center"/>
    </xf>
    <xf numFmtId="0" fontId="0" fillId="7" borderId="58" xfId="0" applyFill="1" applyBorder="1" applyAlignment="1">
      <alignment horizontal="center" vertical="center"/>
    </xf>
    <xf numFmtId="0" fontId="0" fillId="7" borderId="58" xfId="0" applyFill="1" applyBorder="1" applyAlignment="1">
      <alignment horizontal="center"/>
    </xf>
    <xf numFmtId="0" fontId="7" fillId="7" borderId="59" xfId="0" applyFont="1" applyFill="1" applyBorder="1" applyAlignment="1">
      <alignment horizontal="center" vertical="center"/>
    </xf>
    <xf numFmtId="2" fontId="0" fillId="7" borderId="3" xfId="0" applyNumberFormat="1" applyFill="1" applyBorder="1" applyAlignment="1">
      <alignment horizontal="center"/>
    </xf>
    <xf numFmtId="2" fontId="0" fillId="4" borderId="3" xfId="0" applyNumberFormat="1" applyFill="1" applyBorder="1" applyAlignment="1">
      <alignment horizontal="center"/>
    </xf>
    <xf numFmtId="0" fontId="3" fillId="0" borderId="0" xfId="0" applyFont="1"/>
    <xf numFmtId="0" fontId="4" fillId="6" borderId="3" xfId="0" applyFont="1" applyFill="1" applyBorder="1" applyAlignment="1">
      <alignment horizontal="center" vertical="center" wrapText="1"/>
    </xf>
    <xf numFmtId="0" fontId="2" fillId="29" borderId="63" xfId="0" applyFont="1" applyFill="1" applyBorder="1" applyAlignment="1">
      <alignment horizontal="center"/>
    </xf>
    <xf numFmtId="0" fontId="2" fillId="30" borderId="61" xfId="0" applyFont="1" applyFill="1" applyBorder="1" applyAlignment="1">
      <alignment horizontal="center"/>
    </xf>
    <xf numFmtId="0" fontId="2" fillId="4" borderId="0" xfId="0" applyFont="1" applyFill="1" applyAlignment="1">
      <alignment horizontal="center" vertical="center"/>
    </xf>
    <xf numFmtId="0" fontId="48" fillId="4" borderId="0" xfId="0" applyFont="1" applyFill="1" applyAlignment="1">
      <alignment horizontal="left"/>
    </xf>
    <xf numFmtId="0" fontId="37" fillId="34" borderId="0" xfId="0" applyFont="1" applyFill="1" applyAlignment="1">
      <alignment horizontal="center" vertical="center"/>
    </xf>
    <xf numFmtId="0" fontId="37" fillId="33" borderId="0" xfId="0" applyFont="1" applyFill="1" applyAlignment="1">
      <alignment horizontal="center" vertical="center"/>
    </xf>
    <xf numFmtId="0" fontId="37" fillId="22" borderId="0" xfId="0" applyFont="1" applyFill="1" applyAlignment="1">
      <alignment horizontal="center" vertical="center"/>
    </xf>
    <xf numFmtId="0" fontId="11" fillId="4" borderId="0" xfId="0" applyFont="1" applyFill="1"/>
    <xf numFmtId="44" fontId="1" fillId="23" borderId="0" xfId="1" applyFont="1" applyFill="1" applyBorder="1" applyAlignment="1" applyProtection="1">
      <alignment vertical="center" wrapText="1"/>
      <protection locked="0"/>
    </xf>
    <xf numFmtId="0" fontId="27" fillId="4" borderId="0" xfId="0" applyFont="1" applyFill="1" applyAlignment="1">
      <alignment horizontal="left"/>
    </xf>
    <xf numFmtId="0" fontId="46" fillId="4" borderId="0" xfId="0" applyFont="1" applyFill="1" applyAlignment="1">
      <alignment horizontal="left" vertical="center"/>
    </xf>
    <xf numFmtId="0" fontId="35" fillId="0" borderId="0" xfId="0" applyFont="1" applyAlignment="1">
      <alignment vertical="center" wrapText="1"/>
    </xf>
    <xf numFmtId="0" fontId="45" fillId="4" borderId="0" xfId="0" applyFont="1" applyFill="1" applyAlignment="1">
      <alignment horizontal="center" vertical="center" wrapText="1"/>
    </xf>
    <xf numFmtId="167" fontId="44" fillId="0" borderId="0" xfId="1" applyNumberFormat="1" applyFont="1" applyFill="1" applyBorder="1" applyAlignment="1">
      <alignment vertical="center" wrapText="1"/>
    </xf>
    <xf numFmtId="9" fontId="4" fillId="0" borderId="0" xfId="2" applyFont="1" applyFill="1" applyBorder="1" applyAlignment="1"/>
    <xf numFmtId="9" fontId="4" fillId="0" borderId="0" xfId="2" applyFont="1" applyFill="1" applyBorder="1" applyAlignment="1">
      <alignment vertical="center"/>
    </xf>
    <xf numFmtId="2" fontId="52" fillId="0" borderId="0" xfId="2" applyNumberFormat="1" applyFont="1" applyFill="1" applyBorder="1" applyAlignment="1">
      <alignment vertical="center"/>
    </xf>
    <xf numFmtId="167" fontId="44" fillId="0" borderId="0" xfId="0" applyNumberFormat="1" applyFont="1" applyAlignment="1">
      <alignment vertical="center"/>
    </xf>
    <xf numFmtId="2" fontId="0" fillId="7" borderId="0" xfId="0" applyNumberFormat="1" applyFill="1" applyAlignment="1">
      <alignment vertical="center"/>
    </xf>
    <xf numFmtId="0" fontId="0" fillId="7" borderId="0" xfId="0" applyFill="1" applyAlignment="1">
      <alignment vertical="center"/>
    </xf>
    <xf numFmtId="0" fontId="0" fillId="4" borderId="0" xfId="0" applyFill="1" applyAlignment="1">
      <alignment vertical="center"/>
    </xf>
    <xf numFmtId="0" fontId="44" fillId="4" borderId="64" xfId="0" applyFont="1" applyFill="1" applyBorder="1" applyAlignment="1">
      <alignment vertical="center"/>
    </xf>
    <xf numFmtId="0" fontId="44" fillId="4" borderId="65" xfId="0" applyFont="1" applyFill="1" applyBorder="1" applyAlignment="1">
      <alignment vertical="center"/>
    </xf>
    <xf numFmtId="0" fontId="2" fillId="30" borderId="60" xfId="0" applyFont="1" applyFill="1" applyBorder="1" applyAlignment="1">
      <alignment horizontal="center"/>
    </xf>
    <xf numFmtId="0" fontId="40" fillId="0" borderId="0" xfId="0" applyFont="1" applyAlignment="1">
      <alignment vertical="center" wrapText="1"/>
    </xf>
    <xf numFmtId="0" fontId="40" fillId="0" borderId="0" xfId="0" applyFont="1" applyAlignment="1">
      <alignment vertical="center"/>
    </xf>
    <xf numFmtId="0" fontId="49" fillId="0" borderId="0" xfId="0" applyFont="1" applyAlignment="1">
      <alignment vertical="center" wrapText="1"/>
    </xf>
    <xf numFmtId="0" fontId="55" fillId="4" borderId="17" xfId="0" applyFont="1" applyFill="1" applyBorder="1" applyAlignment="1">
      <alignment vertical="top" wrapText="1"/>
    </xf>
    <xf numFmtId="0" fontId="55" fillId="4" borderId="18" xfId="0" applyFont="1" applyFill="1" applyBorder="1" applyAlignment="1">
      <alignment vertical="top" wrapText="1"/>
    </xf>
    <xf numFmtId="0" fontId="55" fillId="4" borderId="20" xfId="0" applyFont="1" applyFill="1" applyBorder="1" applyAlignment="1">
      <alignment vertical="top" wrapText="1"/>
    </xf>
    <xf numFmtId="0" fontId="54" fillId="4" borderId="20" xfId="0" applyFont="1" applyFill="1" applyBorder="1" applyAlignment="1">
      <alignment vertical="center" wrapText="1"/>
    </xf>
    <xf numFmtId="0" fontId="54" fillId="4" borderId="22" xfId="0" applyFont="1" applyFill="1" applyBorder="1" applyAlignment="1">
      <alignment vertical="center" wrapText="1"/>
    </xf>
    <xf numFmtId="0" fontId="54" fillId="4" borderId="23" xfId="0" applyFont="1" applyFill="1" applyBorder="1" applyAlignment="1">
      <alignment vertical="center" wrapText="1"/>
    </xf>
    <xf numFmtId="0" fontId="0" fillId="0" borderId="18" xfId="0" applyBorder="1"/>
    <xf numFmtId="0" fontId="0" fillId="0" borderId="19" xfId="0" applyBorder="1"/>
    <xf numFmtId="0" fontId="0" fillId="0" borderId="21" xfId="0" applyBorder="1"/>
    <xf numFmtId="0" fontId="37" fillId="0" borderId="23" xfId="0" applyFont="1" applyBorder="1"/>
    <xf numFmtId="0" fontId="37" fillId="0" borderId="24" xfId="0" applyFont="1" applyBorder="1"/>
    <xf numFmtId="0" fontId="54" fillId="0" borderId="18" xfId="0" applyFont="1" applyBorder="1" applyAlignment="1">
      <alignment vertical="center" wrapText="1"/>
    </xf>
    <xf numFmtId="0" fontId="54" fillId="0" borderId="20" xfId="0" applyFont="1" applyBorder="1" applyAlignment="1">
      <alignment vertical="center" wrapText="1"/>
    </xf>
    <xf numFmtId="0" fontId="54" fillId="0" borderId="0" xfId="0" applyFont="1" applyAlignment="1">
      <alignment vertical="center" wrapText="1"/>
    </xf>
    <xf numFmtId="0" fontId="54" fillId="0" borderId="22" xfId="0" applyFont="1" applyBorder="1" applyAlignment="1">
      <alignment vertical="center" wrapText="1"/>
    </xf>
    <xf numFmtId="0" fontId="54" fillId="0" borderId="23" xfId="0" applyFont="1" applyBorder="1" applyAlignment="1">
      <alignment vertical="center" wrapText="1"/>
    </xf>
    <xf numFmtId="0" fontId="57" fillId="4" borderId="0" xfId="0" applyFont="1" applyFill="1" applyAlignment="1">
      <alignment horizontal="center" vertical="center"/>
    </xf>
    <xf numFmtId="0" fontId="0" fillId="4" borderId="23" xfId="0" applyFill="1" applyBorder="1" applyAlignment="1">
      <alignment horizontal="left" vertical="center" wrapText="1"/>
    </xf>
    <xf numFmtId="0" fontId="7" fillId="4" borderId="22" xfId="0" applyFont="1" applyFill="1" applyBorder="1" applyAlignment="1">
      <alignment horizontal="left" vertical="center" wrapText="1"/>
    </xf>
    <xf numFmtId="0" fontId="7" fillId="4" borderId="0" xfId="0" applyFont="1" applyFill="1" applyAlignment="1">
      <alignment vertical="center"/>
    </xf>
    <xf numFmtId="0" fontId="54" fillId="4" borderId="0" xfId="0" applyFont="1" applyFill="1" applyAlignment="1">
      <alignment vertical="center" wrapText="1"/>
    </xf>
    <xf numFmtId="0" fontId="37" fillId="4" borderId="0" xfId="0" applyFont="1" applyFill="1"/>
    <xf numFmtId="0" fontId="37" fillId="0" borderId="0" xfId="0" applyFont="1"/>
    <xf numFmtId="0" fontId="6" fillId="4" borderId="0" xfId="0" applyFont="1" applyFill="1" applyAlignment="1">
      <alignment vertical="center"/>
    </xf>
    <xf numFmtId="0" fontId="55" fillId="4" borderId="0" xfId="0" applyFont="1" applyFill="1" applyAlignment="1">
      <alignment vertical="top" wrapText="1"/>
    </xf>
    <xf numFmtId="0" fontId="7" fillId="23" borderId="0" xfId="0" applyFont="1" applyFill="1" applyAlignment="1">
      <alignment vertical="center"/>
    </xf>
    <xf numFmtId="0" fontId="7" fillId="29" borderId="0" xfId="0" applyFont="1" applyFill="1" applyAlignment="1">
      <alignment vertical="center"/>
    </xf>
    <xf numFmtId="0" fontId="7" fillId="30" borderId="0" xfId="0" applyFont="1" applyFill="1" applyAlignment="1">
      <alignment vertical="center"/>
    </xf>
    <xf numFmtId="0" fontId="7" fillId="21" borderId="0" xfId="0" applyFont="1" applyFill="1" applyAlignment="1">
      <alignment vertical="center"/>
    </xf>
    <xf numFmtId="0" fontId="7" fillId="22" borderId="0" xfId="0" applyFont="1" applyFill="1" applyAlignment="1">
      <alignment vertical="center"/>
    </xf>
    <xf numFmtId="0" fontId="7" fillId="19" borderId="0" xfId="0" applyFont="1" applyFill="1" applyAlignment="1">
      <alignment vertical="center"/>
    </xf>
    <xf numFmtId="0" fontId="3" fillId="4" borderId="0" xfId="0" applyFont="1" applyFill="1" applyAlignment="1">
      <alignment horizontal="center" vertical="center"/>
    </xf>
    <xf numFmtId="0" fontId="3" fillId="31" borderId="0" xfId="0" applyFont="1" applyFill="1" applyAlignment="1">
      <alignment horizontal="center" vertical="center"/>
    </xf>
    <xf numFmtId="0" fontId="35" fillId="4" borderId="0" xfId="0" applyFont="1" applyFill="1" applyAlignment="1">
      <alignment horizontal="center"/>
    </xf>
    <xf numFmtId="0" fontId="6" fillId="4" borderId="0" xfId="0" applyFont="1" applyFill="1" applyAlignment="1">
      <alignment horizontal="center" vertical="center"/>
    </xf>
    <xf numFmtId="0" fontId="37" fillId="4" borderId="21" xfId="0" applyFont="1" applyFill="1" applyBorder="1"/>
    <xf numFmtId="0" fontId="37" fillId="4" borderId="24" xfId="0" applyFont="1" applyFill="1" applyBorder="1"/>
    <xf numFmtId="0" fontId="0" fillId="2" borderId="17" xfId="0" applyFill="1" applyBorder="1"/>
    <xf numFmtId="0" fontId="0" fillId="2" borderId="18" xfId="0" applyFill="1" applyBorder="1"/>
    <xf numFmtId="0" fontId="0" fillId="2" borderId="19" xfId="0" applyFill="1" applyBorder="1"/>
    <xf numFmtId="0" fontId="0" fillId="2" borderId="22" xfId="0" applyFill="1" applyBorder="1"/>
    <xf numFmtId="0" fontId="0" fillId="2" borderId="23" xfId="0" applyFill="1" applyBorder="1"/>
    <xf numFmtId="0" fontId="0" fillId="2" borderId="24" xfId="0" applyFill="1" applyBorder="1"/>
    <xf numFmtId="0" fontId="58" fillId="4" borderId="0" xfId="0" applyFont="1" applyFill="1" applyAlignment="1">
      <alignment vertical="center" wrapText="1"/>
    </xf>
    <xf numFmtId="0" fontId="31" fillId="4" borderId="0" xfId="0" applyFont="1" applyFill="1" applyAlignment="1">
      <alignment vertical="center" wrapText="1"/>
    </xf>
    <xf numFmtId="0" fontId="58" fillId="4" borderId="0" xfId="0" applyFont="1" applyFill="1" applyAlignment="1">
      <alignment horizontal="left" vertical="center" wrapText="1"/>
    </xf>
    <xf numFmtId="0" fontId="50" fillId="3" borderId="37" xfId="3" applyFont="1" applyFill="1" applyBorder="1" applyAlignment="1">
      <alignment horizontal="center" vertical="center" wrapText="1"/>
    </xf>
    <xf numFmtId="0" fontId="50" fillId="3" borderId="38" xfId="3" applyFont="1" applyFill="1" applyBorder="1" applyAlignment="1">
      <alignment horizontal="center" vertical="center" wrapText="1"/>
    </xf>
    <xf numFmtId="0" fontId="50" fillId="3" borderId="39" xfId="3" applyFont="1" applyFill="1" applyBorder="1" applyAlignment="1">
      <alignment horizontal="center" vertical="center" wrapText="1"/>
    </xf>
    <xf numFmtId="0" fontId="50" fillId="3" borderId="40" xfId="3" applyFont="1" applyFill="1" applyBorder="1" applyAlignment="1">
      <alignment horizontal="center" vertical="center" wrapText="1"/>
    </xf>
    <xf numFmtId="0" fontId="50" fillId="3" borderId="0" xfId="3" applyFont="1" applyFill="1" applyAlignment="1">
      <alignment horizontal="center" vertical="center" wrapText="1"/>
    </xf>
    <xf numFmtId="0" fontId="50" fillId="3" borderId="41" xfId="3" applyFont="1" applyFill="1" applyBorder="1" applyAlignment="1">
      <alignment horizontal="center" vertical="center" wrapText="1"/>
    </xf>
    <xf numFmtId="0" fontId="50" fillId="3" borderId="42" xfId="3" applyFont="1" applyFill="1" applyBorder="1" applyAlignment="1">
      <alignment horizontal="center" vertical="center" wrapText="1"/>
    </xf>
    <xf numFmtId="0" fontId="50" fillId="3" borderId="43" xfId="3" applyFont="1" applyFill="1" applyBorder="1" applyAlignment="1">
      <alignment horizontal="center" vertical="center" wrapText="1"/>
    </xf>
    <xf numFmtId="0" fontId="50" fillId="3" borderId="44" xfId="3" applyFont="1" applyFill="1" applyBorder="1" applyAlignment="1">
      <alignment horizontal="center" vertical="center" wrapText="1"/>
    </xf>
    <xf numFmtId="0" fontId="39" fillId="2" borderId="14" xfId="0" applyFont="1" applyFill="1" applyBorder="1" applyAlignment="1">
      <alignment horizontal="center" vertical="center" textRotation="90"/>
    </xf>
    <xf numFmtId="0" fontId="39" fillId="2" borderId="0" xfId="0" applyFont="1" applyFill="1" applyAlignment="1">
      <alignment horizontal="center" vertical="center" textRotation="90"/>
    </xf>
    <xf numFmtId="0" fontId="27" fillId="0" borderId="0" xfId="0" applyFont="1" applyAlignment="1">
      <alignment horizontal="left" vertical="top" wrapText="1"/>
    </xf>
    <xf numFmtId="0" fontId="11" fillId="0" borderId="0" xfId="0" applyFont="1" applyAlignment="1">
      <alignment horizontal="right"/>
    </xf>
    <xf numFmtId="0" fontId="25" fillId="19" borderId="0" xfId="0" applyFont="1" applyFill="1" applyAlignment="1">
      <alignment horizontal="right" indent="1"/>
    </xf>
    <xf numFmtId="0" fontId="26" fillId="0" borderId="0" xfId="0" applyFont="1" applyAlignment="1">
      <alignment horizontal="left"/>
    </xf>
    <xf numFmtId="0" fontId="10" fillId="22" borderId="0" xfId="0" applyFont="1" applyFill="1" applyAlignment="1">
      <alignment horizontal="right" indent="1"/>
    </xf>
    <xf numFmtId="0" fontId="10" fillId="22" borderId="7" xfId="0" applyFont="1" applyFill="1" applyBorder="1" applyAlignment="1">
      <alignment horizontal="right" indent="1"/>
    </xf>
    <xf numFmtId="0" fontId="25" fillId="22" borderId="0" xfId="0" applyFont="1" applyFill="1" applyAlignment="1">
      <alignment horizontal="right" indent="1"/>
    </xf>
    <xf numFmtId="0" fontId="26" fillId="0" borderId="27" xfId="0" applyFont="1" applyBorder="1" applyAlignment="1">
      <alignment horizontal="left"/>
    </xf>
    <xf numFmtId="0" fontId="27" fillId="0" borderId="27" xfId="0" applyFont="1" applyBorder="1" applyAlignment="1">
      <alignment horizontal="left" vertical="center" wrapText="1"/>
    </xf>
    <xf numFmtId="0" fontId="27" fillId="0" borderId="0" xfId="0" applyFont="1" applyAlignment="1">
      <alignment horizontal="left" vertical="center" wrapText="1"/>
    </xf>
    <xf numFmtId="0" fontId="10" fillId="0" borderId="0" xfId="0" applyFont="1" applyAlignment="1">
      <alignment horizontal="center" vertical="center" wrapText="1"/>
    </xf>
    <xf numFmtId="0" fontId="38" fillId="0" borderId="32" xfId="0" applyFont="1" applyBorder="1" applyAlignment="1">
      <alignment horizontal="left" vertical="center" wrapText="1"/>
    </xf>
    <xf numFmtId="0" fontId="10" fillId="3" borderId="0" xfId="0" applyFont="1" applyFill="1" applyAlignment="1">
      <alignment horizontal="center"/>
    </xf>
    <xf numFmtId="0" fontId="25" fillId="0" borderId="32" xfId="0" applyFont="1" applyBorder="1" applyAlignment="1">
      <alignment horizontal="right"/>
    </xf>
    <xf numFmtId="2" fontId="0" fillId="7" borderId="0" xfId="0" applyNumberFormat="1" applyFill="1" applyAlignment="1">
      <alignment horizontal="center" vertical="center"/>
    </xf>
    <xf numFmtId="0" fontId="2" fillId="29" borderId="0" xfId="0" applyFont="1" applyFill="1" applyAlignment="1">
      <alignment horizontal="center" vertical="center"/>
    </xf>
    <xf numFmtId="0" fontId="10" fillId="3" borderId="0" xfId="0" applyFont="1" applyFill="1" applyAlignment="1">
      <alignment horizontal="center" wrapText="1"/>
    </xf>
    <xf numFmtId="0" fontId="8" fillId="26" borderId="29" xfId="0" applyFont="1" applyFill="1" applyBorder="1" applyAlignment="1">
      <alignment horizontal="center" vertical="center" textRotation="90"/>
    </xf>
    <xf numFmtId="0" fontId="8" fillId="27" borderId="29" xfId="0" applyFont="1" applyFill="1" applyBorder="1" applyAlignment="1">
      <alignment horizontal="center" vertical="center" textRotation="90"/>
    </xf>
    <xf numFmtId="0" fontId="8" fillId="28" borderId="29" xfId="0" applyFont="1" applyFill="1" applyBorder="1" applyAlignment="1">
      <alignment horizontal="center" vertical="center" textRotation="90"/>
    </xf>
    <xf numFmtId="0" fontId="8" fillId="28" borderId="31" xfId="0" applyFont="1" applyFill="1" applyBorder="1" applyAlignment="1">
      <alignment horizontal="center" vertical="center" textRotation="90"/>
    </xf>
    <xf numFmtId="0" fontId="25" fillId="19" borderId="7" xfId="0" applyFont="1" applyFill="1" applyBorder="1" applyAlignment="1">
      <alignment horizontal="right" indent="1"/>
    </xf>
    <xf numFmtId="0" fontId="10" fillId="3" borderId="1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1" fillId="21" borderId="0" xfId="0" applyFont="1" applyFill="1" applyAlignment="1">
      <alignment horizontal="center" vertical="center" wrapText="1"/>
    </xf>
    <xf numFmtId="0" fontId="30" fillId="32" borderId="17" xfId="3" applyFont="1" applyFill="1" applyBorder="1" applyAlignment="1">
      <alignment horizontal="center" vertical="center" wrapText="1"/>
    </xf>
    <xf numFmtId="0" fontId="30" fillId="32" borderId="22" xfId="3" applyFont="1" applyFill="1" applyBorder="1" applyAlignment="1">
      <alignment horizontal="center" vertical="center" wrapText="1"/>
    </xf>
    <xf numFmtId="0" fontId="26" fillId="0" borderId="0" xfId="0" applyFont="1" applyAlignment="1">
      <alignment horizontal="right"/>
    </xf>
    <xf numFmtId="2" fontId="11" fillId="7" borderId="0" xfId="0" applyNumberFormat="1" applyFont="1" applyFill="1" applyAlignment="1">
      <alignment horizontal="center" vertical="center" wrapText="1"/>
    </xf>
    <xf numFmtId="0" fontId="43" fillId="0" borderId="0" xfId="0" applyFont="1" applyAlignment="1">
      <alignment horizontal="left" vertical="top" wrapText="1"/>
    </xf>
    <xf numFmtId="0" fontId="11" fillId="7" borderId="0" xfId="0" applyFont="1" applyFill="1" applyAlignment="1">
      <alignment horizontal="center" vertical="center" wrapText="1"/>
    </xf>
    <xf numFmtId="0" fontId="0" fillId="4" borderId="20" xfId="0" applyFill="1" applyBorder="1" applyAlignment="1">
      <alignment horizontal="left" vertical="center"/>
    </xf>
    <xf numFmtId="0" fontId="10" fillId="3" borderId="16" xfId="0" applyFont="1" applyFill="1" applyBorder="1" applyAlignment="1">
      <alignment horizontal="center" vertical="center" wrapText="1"/>
    </xf>
    <xf numFmtId="0" fontId="26" fillId="3" borderId="26" xfId="0" applyFont="1" applyFill="1" applyBorder="1" applyAlignment="1">
      <alignment horizontal="center" vertical="center"/>
    </xf>
    <xf numFmtId="0" fontId="26" fillId="3" borderId="28" xfId="0" applyFont="1" applyFill="1" applyBorder="1" applyAlignment="1">
      <alignment horizontal="center" vertical="center"/>
    </xf>
    <xf numFmtId="0" fontId="11" fillId="23" borderId="12" xfId="0" applyFont="1" applyFill="1" applyBorder="1" applyAlignment="1" applyProtection="1">
      <alignment horizontal="center" vertical="center" wrapText="1"/>
      <protection locked="0"/>
    </xf>
    <xf numFmtId="0" fontId="11" fillId="23" borderId="4" xfId="0" applyFont="1" applyFill="1" applyBorder="1" applyAlignment="1" applyProtection="1">
      <alignment horizontal="center" vertical="center" wrapText="1"/>
      <protection locked="0"/>
    </xf>
    <xf numFmtId="0" fontId="10" fillId="3" borderId="0" xfId="0" applyFont="1" applyFill="1" applyAlignment="1">
      <alignment horizontal="center" vertical="center"/>
    </xf>
    <xf numFmtId="0" fontId="7" fillId="4" borderId="0" xfId="0" applyFont="1" applyFill="1" applyAlignment="1">
      <alignment horizontal="left" vertical="center"/>
    </xf>
    <xf numFmtId="0" fontId="40" fillId="2" borderId="0" xfId="0" applyFont="1" applyFill="1" applyAlignment="1">
      <alignment horizontal="center" vertical="center"/>
    </xf>
    <xf numFmtId="0" fontId="0" fillId="7" borderId="0" xfId="0" applyFill="1" applyAlignment="1">
      <alignment horizontal="center" vertical="center"/>
    </xf>
    <xf numFmtId="0" fontId="0" fillId="30" borderId="0" xfId="0" applyFill="1" applyAlignment="1">
      <alignment horizontal="center"/>
    </xf>
    <xf numFmtId="0" fontId="10" fillId="3" borderId="8"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3" fillId="0" borderId="0" xfId="0" applyFont="1" applyAlignment="1">
      <alignment horizontal="left" vertical="top" wrapText="1"/>
    </xf>
    <xf numFmtId="0" fontId="3" fillId="0" borderId="32" xfId="0" applyFont="1" applyBorder="1" applyAlignment="1">
      <alignment horizontal="left" vertical="top" wrapText="1"/>
    </xf>
    <xf numFmtId="0" fontId="26" fillId="21" borderId="0" xfId="0" applyFont="1" applyFill="1" applyAlignment="1">
      <alignment horizontal="right" indent="1"/>
    </xf>
    <xf numFmtId="10" fontId="25" fillId="0" borderId="0" xfId="2" applyNumberFormat="1" applyFont="1" applyBorder="1" applyAlignment="1">
      <alignment horizontal="center" vertical="center"/>
    </xf>
    <xf numFmtId="0" fontId="7" fillId="4" borderId="20" xfId="0" applyFont="1" applyFill="1" applyBorder="1" applyAlignment="1">
      <alignment horizontal="left" vertical="center" wrapText="1"/>
    </xf>
    <xf numFmtId="0" fontId="25" fillId="24" borderId="29" xfId="0" applyFont="1" applyFill="1" applyBorder="1" applyAlignment="1">
      <alignment horizontal="center" vertical="center"/>
    </xf>
    <xf numFmtId="0" fontId="25" fillId="24" borderId="30" xfId="0" applyFont="1" applyFill="1" applyBorder="1" applyAlignment="1">
      <alignment horizontal="center" vertical="center"/>
    </xf>
    <xf numFmtId="0" fontId="39" fillId="2" borderId="25" xfId="0" applyFont="1" applyFill="1" applyBorder="1" applyAlignment="1">
      <alignment horizontal="center" vertical="center" textRotation="90"/>
    </xf>
    <xf numFmtId="2" fontId="44" fillId="7" borderId="64" xfId="0" applyNumberFormat="1" applyFont="1" applyFill="1" applyBorder="1" applyAlignment="1">
      <alignment horizontal="center" vertical="center"/>
    </xf>
    <xf numFmtId="2" fontId="44" fillId="7" borderId="66" xfId="0" applyNumberFormat="1" applyFont="1" applyFill="1" applyBorder="1" applyAlignment="1">
      <alignment horizontal="center" vertical="center"/>
    </xf>
    <xf numFmtId="2" fontId="44" fillId="7" borderId="65" xfId="0" applyNumberFormat="1" applyFont="1" applyFill="1" applyBorder="1" applyAlignment="1">
      <alignment horizontal="center" vertical="center"/>
    </xf>
    <xf numFmtId="2" fontId="44" fillId="7" borderId="62" xfId="0" applyNumberFormat="1" applyFont="1" applyFill="1" applyBorder="1" applyAlignment="1">
      <alignment horizontal="center" vertical="center"/>
    </xf>
    <xf numFmtId="0" fontId="47" fillId="4" borderId="65" xfId="0" applyFont="1" applyFill="1" applyBorder="1" applyAlignment="1">
      <alignment horizontal="center" vertical="center" wrapText="1"/>
    </xf>
    <xf numFmtId="0" fontId="47" fillId="4" borderId="64" xfId="0" applyFont="1" applyFill="1" applyBorder="1" applyAlignment="1">
      <alignment horizontal="center" vertical="center" wrapText="1"/>
    </xf>
    <xf numFmtId="0" fontId="6" fillId="4" borderId="0" xfId="0" applyFont="1" applyFill="1" applyAlignment="1">
      <alignment horizontal="left" vertical="center" textRotation="90"/>
    </xf>
    <xf numFmtId="0" fontId="25" fillId="0" borderId="0" xfId="0" applyFont="1" applyAlignment="1">
      <alignment horizontal="right"/>
    </xf>
    <xf numFmtId="10" fontId="25" fillId="0" borderId="32" xfId="2" applyNumberFormat="1" applyFont="1" applyBorder="1" applyAlignment="1">
      <alignment horizontal="center" vertical="center"/>
    </xf>
    <xf numFmtId="0" fontId="26" fillId="4" borderId="0" xfId="0" applyFont="1" applyFill="1" applyAlignment="1">
      <alignment horizontal="center" vertical="center" wrapText="1"/>
    </xf>
    <xf numFmtId="0" fontId="0" fillId="20" borderId="0" xfId="0" applyFill="1" applyAlignment="1">
      <alignment horizontal="center" vertical="center"/>
    </xf>
    <xf numFmtId="7" fontId="44" fillId="7" borderId="64" xfId="1" applyNumberFormat="1" applyFont="1" applyFill="1" applyBorder="1" applyAlignment="1">
      <alignment horizontal="center" vertical="center" wrapText="1"/>
    </xf>
    <xf numFmtId="7" fontId="44" fillId="7" borderId="65" xfId="1" applyNumberFormat="1" applyFont="1" applyFill="1" applyBorder="1" applyAlignment="1">
      <alignment horizontal="center" vertical="center" wrapText="1"/>
    </xf>
    <xf numFmtId="0" fontId="0" fillId="4" borderId="0" xfId="0" applyFill="1" applyAlignment="1">
      <alignment horizontal="left" vertical="center" wrapText="1"/>
    </xf>
    <xf numFmtId="0" fontId="7" fillId="4" borderId="0" xfId="0" applyFont="1" applyFill="1" applyAlignment="1">
      <alignment horizontal="left" vertical="center" wrapText="1"/>
    </xf>
    <xf numFmtId="0" fontId="25" fillId="20" borderId="29" xfId="0" applyFont="1" applyFill="1" applyBorder="1" applyAlignment="1">
      <alignment horizontal="center" vertical="center"/>
    </xf>
    <xf numFmtId="0" fontId="25" fillId="20" borderId="30" xfId="0" applyFont="1" applyFill="1" applyBorder="1" applyAlignment="1">
      <alignment horizontal="center" vertical="center"/>
    </xf>
    <xf numFmtId="0" fontId="10" fillId="3" borderId="0" xfId="0" applyFont="1" applyFill="1" applyAlignment="1">
      <alignment horizontal="center" vertical="center" wrapText="1"/>
    </xf>
    <xf numFmtId="0" fontId="11" fillId="21" borderId="0" xfId="0" applyFont="1" applyFill="1" applyAlignment="1">
      <alignment horizontal="right" indent="1"/>
    </xf>
    <xf numFmtId="0" fontId="11" fillId="23" borderId="45" xfId="0" applyFont="1" applyFill="1" applyBorder="1" applyAlignment="1" applyProtection="1">
      <alignment horizontal="center" vertical="center" wrapText="1"/>
      <protection locked="0"/>
    </xf>
    <xf numFmtId="0" fontId="0" fillId="0" borderId="46" xfId="0" applyBorder="1" applyAlignment="1">
      <alignment horizontal="center" vertical="center" wrapText="1"/>
    </xf>
    <xf numFmtId="0" fontId="25" fillId="4" borderId="29" xfId="0" applyFont="1" applyFill="1" applyBorder="1" applyAlignment="1">
      <alignment horizontal="center" vertical="center"/>
    </xf>
    <xf numFmtId="0" fontId="25" fillId="4" borderId="30" xfId="0" applyFont="1" applyFill="1" applyBorder="1" applyAlignment="1">
      <alignment horizontal="center" vertical="center"/>
    </xf>
    <xf numFmtId="0" fontId="42" fillId="2" borderId="26" xfId="0" applyFont="1" applyFill="1" applyBorder="1" applyAlignment="1">
      <alignment horizontal="center" vertical="center"/>
    </xf>
    <xf numFmtId="0" fontId="42" fillId="2" borderId="29" xfId="0" applyFont="1" applyFill="1" applyBorder="1" applyAlignment="1">
      <alignment horizontal="center" vertical="center"/>
    </xf>
    <xf numFmtId="0" fontId="42" fillId="2" borderId="28" xfId="0" applyFont="1" applyFill="1" applyBorder="1" applyAlignment="1">
      <alignment horizontal="center" vertical="center"/>
    </xf>
    <xf numFmtId="0" fontId="42" fillId="2" borderId="30" xfId="0" applyFont="1" applyFill="1" applyBorder="1" applyAlignment="1">
      <alignment horizontal="center" vertical="center"/>
    </xf>
    <xf numFmtId="0" fontId="41" fillId="4" borderId="0" xfId="0" applyFont="1" applyFill="1" applyAlignment="1">
      <alignment horizontal="center" vertical="center"/>
    </xf>
    <xf numFmtId="0" fontId="37" fillId="4" borderId="0" xfId="0" applyFont="1" applyFill="1" applyAlignment="1">
      <alignment horizontal="center" vertical="center"/>
    </xf>
    <xf numFmtId="0" fontId="7" fillId="23" borderId="45" xfId="0" applyFont="1" applyFill="1" applyBorder="1" applyAlignment="1" applyProtection="1">
      <alignment horizontal="center" vertical="center"/>
      <protection locked="0"/>
    </xf>
    <xf numFmtId="0" fontId="7" fillId="23" borderId="46" xfId="0" applyFont="1" applyFill="1" applyBorder="1" applyAlignment="1" applyProtection="1">
      <alignment horizontal="center" vertical="center"/>
      <protection locked="0"/>
    </xf>
    <xf numFmtId="0" fontId="3" fillId="4" borderId="48" xfId="0" applyFont="1" applyFill="1" applyBorder="1" applyAlignment="1">
      <alignment horizontal="left" vertical="center" wrapText="1"/>
    </xf>
    <xf numFmtId="0" fontId="0" fillId="4" borderId="0" xfId="0" applyFill="1" applyAlignment="1">
      <alignment horizontal="center" vertical="center" wrapText="1"/>
    </xf>
    <xf numFmtId="7" fontId="44" fillId="7" borderId="66" xfId="1" applyNumberFormat="1" applyFont="1" applyFill="1" applyBorder="1" applyAlignment="1">
      <alignment horizontal="center" vertical="center" wrapText="1"/>
    </xf>
    <xf numFmtId="7" fontId="44" fillId="7" borderId="62" xfId="1" applyNumberFormat="1" applyFont="1" applyFill="1" applyBorder="1" applyAlignment="1">
      <alignment horizontal="center" vertical="center" wrapText="1"/>
    </xf>
    <xf numFmtId="0" fontId="11" fillId="23"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7" borderId="0" xfId="0" applyFill="1" applyAlignment="1">
      <alignment horizontal="left" vertical="center"/>
    </xf>
    <xf numFmtId="0" fontId="53" fillId="7" borderId="0" xfId="0" applyFont="1" applyFill="1" applyAlignment="1">
      <alignment horizontal="center" vertical="center"/>
    </xf>
    <xf numFmtId="2" fontId="0" fillId="7" borderId="0" xfId="0" applyNumberFormat="1" applyFill="1" applyAlignment="1">
      <alignment horizontal="right" vertical="center"/>
    </xf>
    <xf numFmtId="0" fontId="0" fillId="24" borderId="0" xfId="0" applyFill="1" applyAlignment="1">
      <alignment horizontal="center" vertical="center"/>
    </xf>
    <xf numFmtId="0" fontId="0" fillId="25" borderId="0" xfId="0" applyFill="1" applyAlignment="1">
      <alignment horizontal="center" vertical="center"/>
    </xf>
    <xf numFmtId="0" fontId="54" fillId="4" borderId="17" xfId="0" applyFont="1" applyFill="1" applyBorder="1" applyAlignment="1">
      <alignment horizontal="left" vertical="center" wrapText="1"/>
    </xf>
    <xf numFmtId="0" fontId="54" fillId="4" borderId="18" xfId="0" applyFont="1" applyFill="1" applyBorder="1" applyAlignment="1">
      <alignment horizontal="left" vertical="center" wrapText="1"/>
    </xf>
    <xf numFmtId="0" fontId="54" fillId="4" borderId="19" xfId="0" applyFont="1" applyFill="1" applyBorder="1" applyAlignment="1">
      <alignment horizontal="left" vertical="center" wrapText="1"/>
    </xf>
    <xf numFmtId="0" fontId="54" fillId="4" borderId="20" xfId="0" applyFont="1" applyFill="1" applyBorder="1" applyAlignment="1">
      <alignment horizontal="left" vertical="center" wrapText="1"/>
    </xf>
    <xf numFmtId="0" fontId="54" fillId="4" borderId="0" xfId="0" applyFont="1" applyFill="1" applyAlignment="1">
      <alignment horizontal="left" vertical="center" wrapText="1"/>
    </xf>
    <xf numFmtId="0" fontId="54" fillId="4" borderId="21" xfId="0" applyFont="1" applyFill="1" applyBorder="1" applyAlignment="1">
      <alignment horizontal="left" vertical="center" wrapText="1"/>
    </xf>
    <xf numFmtId="0" fontId="54" fillId="4" borderId="22" xfId="0" applyFont="1" applyFill="1" applyBorder="1" applyAlignment="1">
      <alignment horizontal="left" vertical="center" wrapText="1"/>
    </xf>
    <xf numFmtId="0" fontId="54" fillId="4" borderId="23" xfId="0" applyFont="1" applyFill="1" applyBorder="1" applyAlignment="1">
      <alignment horizontal="left" vertical="center" wrapText="1"/>
    </xf>
    <xf numFmtId="0" fontId="54" fillId="4" borderId="24" xfId="0" applyFont="1" applyFill="1" applyBorder="1" applyAlignment="1">
      <alignment horizontal="left" vertical="center" wrapText="1"/>
    </xf>
    <xf numFmtId="0" fontId="49" fillId="2" borderId="0" xfId="0" applyFont="1" applyFill="1" applyAlignment="1">
      <alignment horizontal="center" vertical="center" wrapText="1"/>
    </xf>
    <xf numFmtId="0" fontId="55" fillId="4" borderId="17" xfId="0" applyFont="1" applyFill="1" applyBorder="1" applyAlignment="1">
      <alignment horizontal="left" vertical="top" wrapText="1"/>
    </xf>
    <xf numFmtId="0" fontId="55" fillId="4" borderId="18" xfId="0" applyFont="1" applyFill="1" applyBorder="1" applyAlignment="1">
      <alignment horizontal="left" vertical="top" wrapText="1"/>
    </xf>
    <xf numFmtId="0" fontId="55" fillId="4" borderId="19" xfId="0" applyFont="1" applyFill="1" applyBorder="1" applyAlignment="1">
      <alignment horizontal="left" vertical="top" wrapText="1"/>
    </xf>
    <xf numFmtId="0" fontId="55" fillId="4" borderId="20" xfId="0" applyFont="1" applyFill="1" applyBorder="1" applyAlignment="1">
      <alignment horizontal="left" vertical="top" wrapText="1"/>
    </xf>
    <xf numFmtId="0" fontId="55" fillId="4" borderId="0" xfId="0" applyFont="1" applyFill="1" applyAlignment="1">
      <alignment horizontal="left" vertical="top" wrapText="1"/>
    </xf>
    <xf numFmtId="0" fontId="55" fillId="4" borderId="21" xfId="0" applyFont="1" applyFill="1" applyBorder="1" applyAlignment="1">
      <alignment horizontal="left" vertical="top" wrapText="1"/>
    </xf>
    <xf numFmtId="0" fontId="55" fillId="4" borderId="22" xfId="0" applyFont="1" applyFill="1" applyBorder="1" applyAlignment="1">
      <alignment horizontal="left" vertical="top" wrapText="1"/>
    </xf>
    <xf numFmtId="0" fontId="55" fillId="4" borderId="23" xfId="0" applyFont="1" applyFill="1" applyBorder="1" applyAlignment="1">
      <alignment horizontal="left" vertical="top" wrapText="1"/>
    </xf>
    <xf numFmtId="0" fontId="55" fillId="4" borderId="24" xfId="0" applyFont="1" applyFill="1" applyBorder="1" applyAlignment="1">
      <alignment horizontal="left" vertical="top" wrapText="1"/>
    </xf>
    <xf numFmtId="0" fontId="40" fillId="2" borderId="0" xfId="0" applyFont="1" applyFill="1" applyAlignment="1">
      <alignment horizontal="center" vertical="center" wrapText="1"/>
    </xf>
    <xf numFmtId="0" fontId="35" fillId="4" borderId="0" xfId="0" applyFont="1" applyFill="1" applyAlignment="1">
      <alignment horizontal="left" vertical="center" wrapText="1"/>
    </xf>
    <xf numFmtId="2" fontId="56" fillId="7" borderId="0" xfId="0" applyNumberFormat="1" applyFont="1" applyFill="1" applyAlignment="1">
      <alignment horizontal="center" vertical="center"/>
    </xf>
    <xf numFmtId="0" fontId="10" fillId="4" borderId="0" xfId="0" applyFont="1" applyFill="1" applyAlignment="1">
      <alignment horizontal="center" vertical="center" wrapText="1"/>
    </xf>
    <xf numFmtId="0" fontId="53" fillId="7" borderId="0" xfId="0" applyFont="1" applyFill="1" applyAlignment="1">
      <alignment horizontal="center" vertical="center" wrapText="1"/>
    </xf>
    <xf numFmtId="0" fontId="3" fillId="0" borderId="0" xfId="0" applyFont="1" applyAlignment="1">
      <alignment horizontal="left" wrapText="1"/>
    </xf>
    <xf numFmtId="0" fontId="3" fillId="4" borderId="0" xfId="0" applyFont="1" applyFill="1" applyAlignment="1">
      <alignment horizontal="center"/>
    </xf>
    <xf numFmtId="0" fontId="3" fillId="7" borderId="0" xfId="0" applyFont="1" applyFill="1" applyAlignment="1">
      <alignment horizontal="center"/>
    </xf>
    <xf numFmtId="165" fontId="3" fillId="0" borderId="0" xfId="1" applyNumberFormat="1" applyFont="1" applyAlignment="1">
      <alignment horizontal="left" vertical="center" wrapText="1"/>
    </xf>
    <xf numFmtId="0" fontId="5" fillId="2" borderId="0" xfId="0" applyFont="1" applyFill="1" applyAlignment="1">
      <alignment horizontal="center" vertical="center"/>
    </xf>
    <xf numFmtId="0" fontId="5" fillId="2" borderId="0" xfId="0" applyFont="1" applyFill="1" applyAlignment="1">
      <alignment horizontal="left" vertical="center"/>
    </xf>
    <xf numFmtId="0" fontId="3" fillId="0" borderId="0" xfId="0" applyFont="1" applyAlignment="1">
      <alignment horizontal="left" vertical="top"/>
    </xf>
  </cellXfs>
  <cellStyles count="32">
    <cellStyle name="Calculation 2" xfId="17" xr:uid="{A497EEED-027D-4453-8A72-0C78A25CB618}"/>
    <cellStyle name="Calculation Cell" xfId="9" xr:uid="{78AEA9D3-5D81-4A26-91E9-8B37B5957F95}"/>
    <cellStyle name="Comma" xfId="31" builtinId="3"/>
    <cellStyle name="Comma 2" xfId="19" xr:uid="{5D98A3BD-99F6-477D-A4C2-D59A9608AE17}"/>
    <cellStyle name="Comma 3" xfId="30" xr:uid="{ACEEAF41-3978-4636-B8C8-0AD0406C30BB}"/>
    <cellStyle name="Comma 4" xfId="4" xr:uid="{73F453D0-009C-4CA3-B74C-9701F8F33699}"/>
    <cellStyle name="Currency" xfId="1" builtinId="4"/>
    <cellStyle name="Currency [0] 2" xfId="28" xr:uid="{4F59A1FD-C775-4902-8E0A-DDA4A3143D58}"/>
    <cellStyle name="Currency 2" xfId="18" xr:uid="{38689C5D-766A-4A95-AADC-C0BF27B9E454}"/>
    <cellStyle name="Currency 3" xfId="27" xr:uid="{E646E381-3CE7-4880-8432-8A0A78DB262D}"/>
    <cellStyle name="Currency 4" xfId="5" xr:uid="{ED195A3D-9A6D-49B5-95E9-496A936816BD}"/>
    <cellStyle name="Header 1" xfId="10" xr:uid="{1BD4554C-0532-479E-93EB-6B147D88B2F1}"/>
    <cellStyle name="Header 2" xfId="11" xr:uid="{DE896FF8-251E-4600-B403-847B279C155A}"/>
    <cellStyle name="Heading 1 2" xfId="24" xr:uid="{3FADCDEC-FF13-485A-B7FB-941E37DF20D3}"/>
    <cellStyle name="Heading 2 2" xfId="26" xr:uid="{69A0C5F1-F2CF-45F9-9945-80ECA5CE3889}"/>
    <cellStyle name="Hyperlink" xfId="3" builtinId="8"/>
    <cellStyle name="Hyperlink 2" xfId="20" xr:uid="{3DD003BD-39C1-4663-9D98-562E33C467A4}"/>
    <cellStyle name="Hyperlink 3" xfId="21" xr:uid="{ADF3EACF-3AB4-463D-8546-C1FFE83A8C49}"/>
    <cellStyle name="Hyperlink 4" xfId="25" xr:uid="{591A2A7F-195C-4BD5-BD52-44434872354F}"/>
    <cellStyle name="Input 2" xfId="16" xr:uid="{30D04D0F-3CE0-4796-B928-DBD6F67EE72F}"/>
    <cellStyle name="Input Cell" xfId="12" xr:uid="{EE528CF5-C532-4338-A466-12E6BF4656BA}"/>
    <cellStyle name="Normal" xfId="0" builtinId="0"/>
    <cellStyle name="Normal 10" xfId="23" xr:uid="{138EE6EF-26A0-4B10-9064-9E51180A58B5}"/>
    <cellStyle name="Normal 2" xfId="13" xr:uid="{99B530EC-8F17-4FD4-AFFA-D8DBC77F6F0D}"/>
    <cellStyle name="Normal 3" xfId="14" xr:uid="{3D5F179E-ADBB-40A9-B10C-9F3CA307892A}"/>
    <cellStyle name="Normal 4" xfId="29" xr:uid="{70070377-973B-44A6-8CFD-0E74F731223E}"/>
    <cellStyle name="Parameter Cell" xfId="8" xr:uid="{63902627-64DC-4B0C-B3CB-482711D9FD83}"/>
    <cellStyle name="Percent" xfId="2" builtinId="5"/>
    <cellStyle name="Table Header" xfId="6" xr:uid="{1A5A213F-2AEE-4C71-96BD-B884B0F38896}"/>
    <cellStyle name="Table Row Name" xfId="7" xr:uid="{9D3E46DF-45C1-4315-96D4-EAAEB97DD167}"/>
    <cellStyle name="Table text" xfId="15" xr:uid="{1D893C80-EDA1-44BD-8822-CA8A3E7E4538}"/>
    <cellStyle name="Title 2" xfId="22" xr:uid="{2590D9A5-C663-4F0F-8C33-A82A955DDCEC}"/>
  </cellStyles>
  <dxfs count="13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fill>
        <patternFill>
          <bgColor rgb="FFFFFF00"/>
        </patternFill>
      </fill>
    </dxf>
    <dxf>
      <fill>
        <patternFill>
          <bgColor theme="0" tint="-4.9989318521683403E-2"/>
        </patternFill>
      </fill>
      <border>
        <left/>
        <right/>
        <top/>
        <bottom/>
        <vertical/>
        <horizontal/>
      </border>
    </dxf>
    <dxf>
      <font>
        <color theme="0" tint="-4.9989318521683403E-2"/>
      </font>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theme="7" tint="0.79998168889431442"/>
        </patternFill>
      </fill>
    </dxf>
    <dxf>
      <fill>
        <patternFill patternType="none">
          <bgColor auto="1"/>
        </patternFill>
      </fill>
    </dxf>
    <dxf>
      <font>
        <color rgb="FF006100"/>
      </font>
      <fill>
        <patternFill>
          <bgColor rgb="FFCCFF99"/>
        </patternFill>
      </fill>
    </dxf>
    <dxf>
      <font>
        <color rgb="FF9C0006"/>
      </font>
      <fill>
        <patternFill>
          <bgColor rgb="FFFF9999"/>
        </patternFill>
      </fill>
    </dxf>
    <dxf>
      <fill>
        <patternFill patternType="none">
          <bgColor auto="1"/>
        </patternFill>
      </fill>
    </dxf>
    <dxf>
      <font>
        <color rgb="FF006100"/>
      </font>
      <fill>
        <patternFill>
          <bgColor rgb="FFCCFF99"/>
        </patternFill>
      </fill>
    </dxf>
    <dxf>
      <font>
        <color rgb="FF9C0006"/>
      </font>
      <fill>
        <patternFill>
          <bgColor rgb="FFFF9999"/>
        </patternFill>
      </fill>
    </dxf>
    <dxf>
      <fill>
        <patternFill patternType="none">
          <bgColor auto="1"/>
        </patternFill>
      </fill>
    </dxf>
    <dxf>
      <font>
        <color rgb="FF9C0006"/>
      </font>
      <fill>
        <patternFill>
          <bgColor rgb="FFFF9999"/>
        </patternFill>
      </fill>
    </dxf>
    <dxf>
      <font>
        <color rgb="FF006100"/>
      </font>
      <fill>
        <patternFill>
          <bgColor rgb="FFCCFF99"/>
        </patternFill>
      </fill>
    </dxf>
    <dxf>
      <font>
        <color rgb="FF9C0006"/>
      </font>
      <fill>
        <patternFill>
          <bgColor rgb="FFFF9999"/>
        </patternFill>
      </fill>
    </dxf>
    <dxf>
      <font>
        <color rgb="FF006100"/>
      </font>
      <fill>
        <patternFill>
          <bgColor rgb="FFCCFF99"/>
        </patternFill>
      </fill>
    </dxf>
    <dxf>
      <fill>
        <patternFill patternType="none">
          <bgColor auto="1"/>
        </patternFill>
      </fill>
    </dxf>
    <dxf>
      <font>
        <color rgb="FF006100"/>
      </font>
      <fill>
        <patternFill>
          <bgColor rgb="FFCCFF99"/>
        </patternFill>
      </fill>
    </dxf>
    <dxf>
      <font>
        <color rgb="FF9C0006"/>
      </font>
      <fill>
        <patternFill>
          <bgColor rgb="FFFF9999"/>
        </patternFill>
      </fill>
    </dxf>
    <dxf>
      <fill>
        <patternFill patternType="none">
          <bgColor auto="1"/>
        </patternFill>
      </fill>
    </dxf>
    <dxf>
      <fill>
        <patternFill>
          <bgColor theme="0" tint="-4.9989318521683403E-2"/>
        </patternFill>
      </fill>
    </dxf>
    <dxf>
      <fill>
        <patternFill>
          <bgColor rgb="FFFFFF00"/>
        </patternFill>
      </fill>
    </dxf>
    <dxf>
      <font>
        <color rgb="FF006100"/>
      </font>
      <fill>
        <patternFill>
          <bgColor rgb="FFCCFF99"/>
        </patternFill>
      </fill>
    </dxf>
    <dxf>
      <fill>
        <patternFill patternType="none">
          <bgColor auto="1"/>
        </patternFill>
      </fill>
    </dxf>
    <dxf>
      <font>
        <color rgb="FF9C0006"/>
      </font>
      <fill>
        <patternFill>
          <bgColor rgb="FFFF9999"/>
        </patternFill>
      </fill>
    </dxf>
    <dxf>
      <font>
        <color rgb="FF006100"/>
      </font>
      <fill>
        <patternFill>
          <bgColor rgb="FFCCFF99"/>
        </patternFill>
      </fill>
    </dxf>
    <dxf>
      <fill>
        <patternFill patternType="none">
          <bgColor auto="1"/>
        </patternFill>
      </fill>
    </dxf>
    <dxf>
      <font>
        <color rgb="FF9C0006"/>
      </font>
      <fill>
        <patternFill>
          <bgColor rgb="FFFF9999"/>
        </patternFill>
      </fill>
    </dxf>
    <dxf>
      <font>
        <color rgb="FF9C0006"/>
      </font>
      <fill>
        <patternFill>
          <bgColor rgb="FFFF9999"/>
        </patternFill>
      </fill>
    </dxf>
    <dxf>
      <fill>
        <patternFill patternType="none">
          <bgColor auto="1"/>
        </patternFill>
      </fill>
    </dxf>
    <dxf>
      <font>
        <color rgb="FF006100"/>
      </font>
      <fill>
        <patternFill>
          <bgColor rgb="FFCCFF99"/>
        </patternFill>
      </fill>
    </dxf>
    <dxf>
      <fill>
        <patternFill patternType="none">
          <bgColor auto="1"/>
        </patternFill>
      </fill>
    </dxf>
    <dxf>
      <font>
        <color rgb="FF006100"/>
      </font>
      <fill>
        <patternFill>
          <bgColor rgb="FFCCFF99"/>
        </patternFill>
      </fill>
    </dxf>
    <dxf>
      <font>
        <color rgb="FF9C0006"/>
      </font>
      <fill>
        <patternFill>
          <bgColor rgb="FFFF9999"/>
        </patternFill>
      </fill>
    </dxf>
    <dxf>
      <font>
        <color rgb="FF006100"/>
      </font>
      <fill>
        <patternFill>
          <bgColor rgb="FFCCFF99"/>
        </patternFill>
      </fill>
    </dxf>
    <dxf>
      <font>
        <color rgb="FF9C0006"/>
      </font>
      <fill>
        <patternFill>
          <bgColor rgb="FFFF9999"/>
        </patternFill>
      </fill>
    </dxf>
    <dxf>
      <fill>
        <patternFill patternType="none">
          <bgColor auto="1"/>
        </patternFill>
      </fill>
    </dxf>
    <dxf>
      <fill>
        <patternFill>
          <bgColor theme="8" tint="0.79998168889431442"/>
        </patternFill>
      </fill>
      <border>
        <left/>
        <right/>
        <top/>
        <bottom/>
        <vertical/>
        <horizontal/>
      </border>
    </dxf>
    <dxf>
      <font>
        <color rgb="FFFF0000"/>
      </font>
      <fill>
        <patternFill>
          <bgColor theme="8" tint="0.79998168889431442"/>
        </patternFill>
      </fill>
    </dxf>
    <dxf>
      <fill>
        <patternFill>
          <bgColor theme="7" tint="0.79998168889431442"/>
        </patternFill>
      </fill>
      <border>
        <left/>
        <right/>
        <top/>
        <bottom/>
        <vertical/>
        <horizontal/>
      </border>
    </dxf>
    <dxf>
      <fill>
        <patternFill>
          <bgColor theme="9" tint="0.79998168889431442"/>
        </patternFill>
      </fill>
      <border>
        <left/>
        <right/>
        <top/>
        <bottom/>
        <vertical/>
        <horizontal/>
      </border>
    </dxf>
    <dxf>
      <font>
        <color theme="8" tint="0.79998168889431442"/>
      </font>
    </dxf>
    <dxf>
      <font>
        <color theme="8" tint="0.79998168889431442"/>
      </font>
    </dxf>
    <dxf>
      <font>
        <color theme="7" tint="0.79998168889431442"/>
      </font>
      <fill>
        <patternFill>
          <bgColor theme="7" tint="0.79998168889431442"/>
        </patternFill>
      </fill>
    </dxf>
    <dxf>
      <font>
        <b/>
        <i val="0"/>
      </font>
    </dxf>
    <dxf>
      <font>
        <color theme="9" tint="0.79998168889431442"/>
      </font>
      <fill>
        <patternFill>
          <bgColor theme="9" tint="0.79998168889431442"/>
        </patternFill>
      </fill>
    </dxf>
    <dxf>
      <font>
        <b/>
        <i val="0"/>
      </font>
    </dxf>
    <dxf>
      <fill>
        <patternFill>
          <bgColor rgb="FFFFFF00"/>
        </patternFill>
      </fill>
    </dxf>
    <dxf>
      <fill>
        <patternFill>
          <bgColor rgb="FFFFFF00"/>
        </patternFill>
      </fill>
    </dxf>
    <dxf>
      <font>
        <b/>
        <i val="0"/>
      </font>
    </dxf>
    <dxf>
      <font>
        <b/>
        <i val="0"/>
      </font>
    </dxf>
    <dxf>
      <fill>
        <patternFill>
          <bgColor theme="0" tint="-4.9989318521683403E-2"/>
        </patternFill>
      </fill>
    </dxf>
    <dxf>
      <fill>
        <patternFill>
          <bgColor rgb="FFFFFF00"/>
        </patternFill>
      </fill>
    </dxf>
    <dxf>
      <fill>
        <patternFill>
          <bgColor theme="8" tint="0.79998168889431442"/>
        </patternFill>
      </fill>
      <border>
        <left/>
        <right/>
        <top/>
        <bottom/>
        <vertical/>
        <horizontal/>
      </border>
    </dxf>
    <dxf>
      <font>
        <color rgb="FFFF0000"/>
      </font>
      <fill>
        <patternFill patternType="solid">
          <bgColor theme="8" tint="0.79998168889431442"/>
        </patternFill>
      </fill>
    </dxf>
    <dxf>
      <fill>
        <patternFill>
          <bgColor theme="7" tint="0.79998168889431442"/>
        </patternFill>
      </fill>
      <border>
        <left/>
        <right/>
        <top/>
        <bottom/>
        <vertical/>
        <horizontal/>
      </border>
    </dxf>
    <dxf>
      <fill>
        <patternFill>
          <bgColor theme="9" tint="0.79998168889431442"/>
        </patternFill>
      </fill>
      <border>
        <left/>
        <right/>
        <top/>
        <bottom/>
        <vertical/>
        <horizontal/>
      </border>
    </dxf>
    <dxf>
      <font>
        <color theme="8" tint="0.79998168889431442"/>
      </font>
    </dxf>
    <dxf>
      <font>
        <color theme="8" tint="0.79998168889431442"/>
      </font>
    </dxf>
    <dxf>
      <font>
        <color theme="7" tint="0.79998168889431442"/>
      </font>
      <fill>
        <patternFill>
          <bgColor theme="7" tint="0.79998168889431442"/>
        </patternFill>
      </fill>
    </dxf>
    <dxf>
      <font>
        <color theme="9" tint="0.79998168889431442"/>
      </font>
    </dxf>
    <dxf>
      <fill>
        <patternFill>
          <bgColor rgb="FFFFFF00"/>
        </patternFill>
      </fill>
    </dxf>
    <dxf>
      <fill>
        <patternFill>
          <bgColor rgb="FFFFFF00"/>
        </patternFill>
      </fill>
    </dxf>
    <dxf>
      <font>
        <b/>
        <i val="0"/>
      </font>
    </dxf>
    <dxf>
      <font>
        <b/>
        <i val="0"/>
      </font>
    </dxf>
    <dxf>
      <font>
        <b/>
        <i val="0"/>
      </font>
    </dxf>
    <dxf>
      <font>
        <b/>
        <i val="0"/>
      </font>
    </dxf>
    <dxf>
      <numFmt numFmtId="0" formatCode="General"/>
      <fill>
        <patternFill patternType="none">
          <fgColor indexed="64"/>
          <bgColor auto="1"/>
        </patternFill>
      </fill>
    </dxf>
    <dxf>
      <numFmt numFmtId="0" formatCode="General"/>
      <fill>
        <patternFill patternType="none">
          <fgColor indexed="64"/>
          <bgColor auto="1"/>
        </patternFill>
      </fill>
    </dxf>
    <dxf>
      <font>
        <b/>
        <strike val="0"/>
        <outline val="0"/>
        <shadow val="0"/>
        <u val="none"/>
        <vertAlign val="baseline"/>
        <sz val="11"/>
        <color theme="0"/>
        <name val="Calibri"/>
        <family val="2"/>
        <scheme val="minor"/>
      </font>
      <numFmt numFmtId="0" formatCode="General"/>
      <fill>
        <patternFill patternType="solid">
          <fgColor indexed="64"/>
          <bgColor theme="3"/>
        </patternFill>
      </fill>
    </dxf>
    <dxf>
      <numFmt numFmtId="2" formatCode="0.00"/>
      <fill>
        <patternFill patternType="none">
          <fgColor indexed="64"/>
          <bgColor auto="1"/>
        </patternFill>
      </fill>
    </dxf>
    <dxf>
      <numFmt numFmtId="2" formatCode="0.00"/>
      <fill>
        <patternFill patternType="none">
          <fgColor indexed="64"/>
          <bgColor auto="1"/>
        </patternFill>
      </fill>
    </dxf>
    <dxf>
      <numFmt numFmtId="2" formatCode="0.00"/>
      <fill>
        <patternFill patternType="none">
          <fgColor indexed="64"/>
          <bgColor auto="1"/>
        </patternFill>
      </fill>
    </dxf>
    <dxf>
      <numFmt numFmtId="2" formatCode="0.00"/>
      <fill>
        <patternFill patternType="none">
          <fgColor indexed="64"/>
          <bgColor auto="1"/>
        </patternFill>
      </fill>
    </dxf>
    <dxf>
      <numFmt numFmtId="2" formatCode="0.00"/>
      <fill>
        <patternFill patternType="none">
          <fgColor indexed="64"/>
          <bgColor auto="1"/>
        </patternFill>
      </fill>
    </dxf>
    <dxf>
      <numFmt numFmtId="2" formatCode="0.00"/>
      <fill>
        <patternFill patternType="none">
          <fgColor indexed="64"/>
          <bgColor auto="1"/>
        </patternFill>
      </fill>
    </dxf>
    <dxf>
      <numFmt numFmtId="2" formatCode="0.00"/>
      <fill>
        <patternFill patternType="none">
          <fgColor indexed="64"/>
          <bgColor auto="1"/>
        </patternFill>
      </fill>
    </dxf>
    <dxf>
      <numFmt numFmtId="0" formatCode="General"/>
      <fill>
        <patternFill patternType="none">
          <fgColor indexed="64"/>
          <bgColor indexed="65"/>
        </patternFill>
      </fill>
    </dxf>
    <dxf>
      <numFmt numFmtId="0" formatCode="General"/>
      <fill>
        <patternFill patternType="none">
          <fgColor indexed="64"/>
          <bgColor auto="1"/>
        </patternFill>
      </fill>
    </dxf>
    <dxf>
      <font>
        <b/>
        <strike val="0"/>
        <outline val="0"/>
        <shadow val="0"/>
        <u val="none"/>
        <vertAlign val="baseline"/>
        <sz val="11"/>
        <color theme="0"/>
        <name val="Calibri"/>
        <family val="2"/>
        <scheme val="minor"/>
      </font>
      <numFmt numFmtId="0" formatCode="General"/>
      <fill>
        <patternFill patternType="solid">
          <fgColor indexed="64"/>
          <bgColor theme="3"/>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2" formatCode="0.00"/>
      <fill>
        <patternFill patternType="none">
          <fgColor indexed="64"/>
          <bgColor indexed="65"/>
        </patternFill>
      </fill>
      <alignment horizontal="left" vertical="bottom" textRotation="0" wrapText="0" indent="0" justifyLastLine="0" shrinkToFit="0" readingOrder="0"/>
    </dxf>
    <dxf>
      <numFmt numFmtId="2"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top"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general" vertical="top" textRotation="0" wrapText="1" indent="0" justifyLastLine="0" shrinkToFit="0" readingOrder="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dxf>
    <dxf>
      <font>
        <i val="0"/>
      </font>
      <fill>
        <patternFill patternType="solid">
          <fgColor indexed="64"/>
          <bgColor theme="3"/>
        </patternFill>
      </fill>
    </dxf>
    <dxf>
      <fill>
        <patternFill patternType="none">
          <fgColor indexed="64"/>
          <bgColor auto="1"/>
        </patternFill>
      </fill>
      <alignment horizontal="center" vertical="center" textRotation="0" wrapText="0" indent="0" justifyLastLine="0" shrinkToFit="0" readingOrder="0"/>
      <border diagonalUp="0" diagonalDown="0">
        <left style="thin">
          <color theme="3"/>
        </left>
        <right/>
        <top style="thin">
          <color theme="3"/>
        </top>
        <bottom style="thin">
          <color theme="3"/>
        </bottom>
        <vertical style="thin">
          <color theme="3"/>
        </vertical>
        <horizontal style="thin">
          <color theme="3"/>
        </horizontal>
      </border>
    </dxf>
    <dxf>
      <font>
        <b val="0"/>
      </font>
      <fill>
        <patternFill patternType="solid">
          <fgColor indexed="64"/>
          <bgColor theme="0"/>
        </patternFill>
      </fill>
      <alignment horizontal="center" vertical="bottom" textRotation="0" wrapText="0" indent="0" justifyLastLine="0" shrinkToFit="0" readingOrder="0"/>
      <border diagonalUp="0" diagonalDown="0">
        <left style="thin">
          <color theme="3"/>
        </left>
        <right style="thin">
          <color theme="3"/>
        </right>
        <top style="thin">
          <color theme="3"/>
        </top>
        <bottom style="thin">
          <color theme="3"/>
        </bottom>
        <vertical style="thin">
          <color theme="3"/>
        </vertical>
        <horizontal style="thin">
          <color theme="3"/>
        </horizontal>
      </border>
    </dxf>
    <dxf>
      <font>
        <b val="0"/>
      </font>
      <numFmt numFmtId="2" formatCode="0.00"/>
      <fill>
        <patternFill patternType="solid">
          <fgColor indexed="64"/>
          <bgColor theme="0"/>
        </patternFill>
      </fill>
      <alignment horizontal="center" vertical="bottom" textRotation="0" wrapText="0" indent="0" justifyLastLine="0" shrinkToFit="0" readingOrder="0"/>
      <border diagonalUp="0" diagonalDown="0" outline="0">
        <left style="thin">
          <color theme="3"/>
        </left>
        <right style="thin">
          <color theme="3"/>
        </right>
        <top style="thin">
          <color theme="3"/>
        </top>
        <bottom style="thin">
          <color theme="3"/>
        </bottom>
      </border>
    </dxf>
    <dxf>
      <font>
        <b val="0"/>
      </font>
      <numFmt numFmtId="2" formatCode="0.00"/>
      <fill>
        <patternFill patternType="solid">
          <fgColor indexed="64"/>
          <bgColor theme="0"/>
        </patternFill>
      </fill>
      <alignment horizontal="center" vertical="bottom" textRotation="0" wrapText="0" indent="0" justifyLastLine="0" shrinkToFit="0" readingOrder="0"/>
      <border diagonalUp="0" diagonalDown="0" outline="0">
        <left style="thin">
          <color theme="3"/>
        </left>
        <right style="thin">
          <color theme="3"/>
        </right>
        <top style="thin">
          <color theme="3"/>
        </top>
        <bottom style="thin">
          <color theme="3"/>
        </bottom>
      </border>
    </dxf>
    <dxf>
      <fill>
        <patternFill patternType="none">
          <fgColor indexed="64"/>
          <bgColor auto="1"/>
        </patternFill>
      </fill>
      <alignment horizontal="center" vertical="center" textRotation="0" wrapText="0" indent="0" justifyLastLine="0" shrinkToFit="0" readingOrder="0"/>
      <border diagonalUp="0" diagonalDown="0" outline="0">
        <left style="thin">
          <color theme="3"/>
        </left>
        <right style="thin">
          <color theme="3"/>
        </right>
        <top style="thin">
          <color theme="3"/>
        </top>
        <bottom style="thin">
          <color theme="3"/>
        </bottom>
      </border>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theme="3"/>
        </left>
        <right style="thin">
          <color theme="3"/>
        </right>
        <top style="thin">
          <color theme="3"/>
        </top>
        <bottom style="thin">
          <color theme="3"/>
        </bottom>
        <vertical style="thin">
          <color theme="3"/>
        </vertical>
        <horizontal style="thin">
          <color theme="3"/>
        </horizontal>
      </border>
    </dxf>
    <dxf>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theme="3"/>
        </left>
        <right style="thin">
          <color theme="3"/>
        </right>
        <top style="thin">
          <color theme="3"/>
        </top>
        <bottom style="thin">
          <color theme="3"/>
        </bottom>
        <vertical style="thin">
          <color theme="3"/>
        </vertical>
        <horizontal style="thin">
          <color theme="3"/>
        </horizontal>
      </border>
    </dxf>
    <dxf>
      <fill>
        <patternFill patternType="none">
          <fgColor indexed="64"/>
          <bgColor auto="1"/>
        </patternFill>
      </fill>
      <alignment horizontal="center" vertical="center" textRotation="0" wrapText="0" indent="0" justifyLastLine="0" shrinkToFit="0" readingOrder="0"/>
      <border diagonalUp="0" diagonalDown="0">
        <left style="thin">
          <color theme="3"/>
        </left>
        <right style="thin">
          <color theme="3"/>
        </right>
        <top style="thin">
          <color theme="3"/>
        </top>
        <bottom style="thin">
          <color theme="3"/>
        </bottom>
        <vertical style="thin">
          <color theme="3"/>
        </vertical>
        <horizontal style="thin">
          <color theme="3"/>
        </horizontal>
      </border>
    </dxf>
    <dxf>
      <fill>
        <patternFill patternType="none">
          <fgColor indexed="64"/>
          <bgColor auto="1"/>
        </patternFill>
      </fill>
      <alignment horizontal="left" vertical="center" textRotation="0" wrapText="0" indent="0" justifyLastLine="0" shrinkToFit="0" readingOrder="0"/>
      <border diagonalUp="0" diagonalDown="0">
        <left/>
        <right style="thin">
          <color theme="3"/>
        </right>
        <top style="thin">
          <color theme="3"/>
        </top>
        <bottom style="thin">
          <color theme="3"/>
        </bottom>
        <vertical style="thin">
          <color theme="3"/>
        </vertical>
        <horizontal style="thin">
          <color theme="3"/>
        </horizontal>
      </border>
    </dxf>
    <dxf>
      <border>
        <top style="thin">
          <color theme="3"/>
        </top>
      </border>
    </dxf>
    <dxf>
      <border diagonalUp="0" diagonalDown="0">
        <left style="thin">
          <color theme="3"/>
        </left>
        <right style="thin">
          <color theme="3"/>
        </right>
        <top style="thin">
          <color theme="3"/>
        </top>
        <bottom style="thin">
          <color theme="3"/>
        </bottom>
      </border>
    </dxf>
    <dxf>
      <fill>
        <patternFill patternType="none">
          <fgColor indexed="64"/>
          <bgColor auto="1"/>
        </patternFill>
      </fill>
    </dxf>
    <dxf>
      <border>
        <bottom style="thin">
          <color theme="3"/>
        </bottom>
      </border>
    </dxf>
    <dxf>
      <fill>
        <patternFill>
          <fgColor indexed="64"/>
          <bgColor theme="3"/>
        </patternFill>
      </fill>
      <alignment horizontal="center" vertical="center" textRotation="0" wrapText="1" indent="0" justifyLastLine="0" shrinkToFit="0" readingOrder="0"/>
      <border diagonalUp="0" diagonalDown="0">
        <left style="thin">
          <color theme="3"/>
        </left>
        <right style="thin">
          <color theme="3"/>
        </right>
        <top/>
        <bottom/>
        <vertical style="thin">
          <color theme="3"/>
        </vertical>
        <horizontal style="thin">
          <color theme="3"/>
        </horizontal>
      </border>
    </dxf>
  </dxfs>
  <tableStyles count="1" defaultTableStyle="TableStyleMedium2" defaultPivotStyle="PivotStyleLight16">
    <tableStyle name="Invisible" pivot="0" table="0" count="0" xr9:uid="{12291B73-0D07-4E13-A2FD-9C87E3437FC0}"/>
  </tableStyles>
  <colors>
    <mruColors>
      <color rgb="FFFFCCCC"/>
      <color rgb="FFFF9999"/>
      <color rgb="FFCCFF99"/>
      <color rgb="FF99FF99"/>
      <color rgb="FFCCFFCC"/>
      <color rgb="FFCC99FF"/>
      <color rgb="FFBB93F7"/>
      <color rgb="FF9F5F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emf"/><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emf"/><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2.xml.rels><?xml version="1.0" encoding="UTF-8" standalone="yes"?>
<Relationships xmlns="http://schemas.openxmlformats.org/package/2006/relationships"><Relationship Id="rId3" Type="http://schemas.openxmlformats.org/officeDocument/2006/relationships/image" Target="../media/image61.png"/><Relationship Id="rId7" Type="http://schemas.openxmlformats.org/officeDocument/2006/relationships/image" Target="../media/image65.png"/><Relationship Id="rId2" Type="http://schemas.openxmlformats.org/officeDocument/2006/relationships/image" Target="../media/image60.png"/><Relationship Id="rId1" Type="http://schemas.openxmlformats.org/officeDocument/2006/relationships/image" Target="../media/image59.jpeg"/><Relationship Id="rId6" Type="http://schemas.openxmlformats.org/officeDocument/2006/relationships/image" Target="../media/image64.png"/><Relationship Id="rId5" Type="http://schemas.openxmlformats.org/officeDocument/2006/relationships/image" Target="../media/image63.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255361</xdr:colOff>
          <xdr:row>15</xdr:row>
          <xdr:rowOff>136070</xdr:rowOff>
        </xdr:from>
        <xdr:to>
          <xdr:col>15</xdr:col>
          <xdr:colOff>1269439</xdr:colOff>
          <xdr:row>18</xdr:row>
          <xdr:rowOff>183242</xdr:rowOff>
        </xdr:to>
        <xdr:pic>
          <xdr:nvPicPr>
            <xdr:cNvPr id="50" name="Picture 49">
              <a:extLst>
                <a:ext uri="{FF2B5EF4-FFF2-40B4-BE49-F238E27FC236}">
                  <a16:creationId xmlns:a16="http://schemas.microsoft.com/office/drawing/2014/main" id="{95DBF605-437E-446C-B059-90388B089BD0}"/>
                </a:ext>
              </a:extLst>
            </xdr:cNvPr>
            <xdr:cNvPicPr>
              <a:picLocks noChangeAspect="1"/>
              <a:extLst>
                <a:ext uri="{84589F7E-364E-4C9E-8A38-B11213B215E9}">
                  <a14:cameraTool cellRange="Image_PICC_A" spid="_x0000_s21882"/>
                </a:ext>
              </a:extLst>
            </xdr:cNvPicPr>
          </xdr:nvPicPr>
          <xdr:blipFill rotWithShape="1">
            <a:blip xmlns:r="http://schemas.openxmlformats.org/officeDocument/2006/relationships" r:embed="rId1"/>
            <a:srcRect l="-175" t="2" r="558" b="6137"/>
            <a:stretch>
              <a:fillRect/>
            </a:stretch>
          </xdr:blipFill>
          <xdr:spPr>
            <a:xfrm>
              <a:off x="9862004" y="3809999"/>
              <a:ext cx="6593006" cy="775607"/>
            </a:xfrm>
            <a:prstGeom prst="rect">
              <a:avLst/>
            </a:prstGeom>
          </xdr:spPr>
        </xdr:pic>
        <xdr:clientData/>
      </xdr:twoCellAnchor>
    </mc:Choice>
    <mc:Fallback/>
  </mc:AlternateContent>
  <xdr:twoCellAnchor editAs="oneCell">
    <xdr:from>
      <xdr:col>38</xdr:col>
      <xdr:colOff>235815</xdr:colOff>
      <xdr:row>64</xdr:row>
      <xdr:rowOff>121947</xdr:rowOff>
    </xdr:from>
    <xdr:to>
      <xdr:col>42</xdr:col>
      <xdr:colOff>802366</xdr:colOff>
      <xdr:row>73</xdr:row>
      <xdr:rowOff>66963</xdr:rowOff>
    </xdr:to>
    <xdr:pic>
      <xdr:nvPicPr>
        <xdr:cNvPr id="53" name="Picture 52">
          <a:extLst>
            <a:ext uri="{FF2B5EF4-FFF2-40B4-BE49-F238E27FC236}">
              <a16:creationId xmlns:a16="http://schemas.microsoft.com/office/drawing/2014/main" id="{12EF6609-A7FD-4BE3-9390-88334351777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6264128" y="15361947"/>
          <a:ext cx="5043301" cy="2084966"/>
        </a:xfrm>
        <a:prstGeom prst="rect">
          <a:avLst/>
        </a:prstGeom>
      </xdr:spPr>
    </xdr:pic>
    <xdr:clientData/>
  </xdr:twoCellAnchor>
  <xdr:twoCellAnchor>
    <xdr:from>
      <xdr:col>48</xdr:col>
      <xdr:colOff>927568</xdr:colOff>
      <xdr:row>89</xdr:row>
      <xdr:rowOff>26</xdr:rowOff>
    </xdr:from>
    <xdr:to>
      <xdr:col>48</xdr:col>
      <xdr:colOff>2716507</xdr:colOff>
      <xdr:row>89</xdr:row>
      <xdr:rowOff>482600</xdr:rowOff>
    </xdr:to>
    <xdr:pic>
      <xdr:nvPicPr>
        <xdr:cNvPr id="4" name="Picture 3">
          <a:extLst>
            <a:ext uri="{FF2B5EF4-FFF2-40B4-BE49-F238E27FC236}">
              <a16:creationId xmlns:a16="http://schemas.microsoft.com/office/drawing/2014/main" id="{4D2BD613-05DA-4D5A-90F2-1F105720B7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94523" y="21890208"/>
          <a:ext cx="1788939" cy="482574"/>
        </a:xfrm>
        <a:prstGeom prst="rect">
          <a:avLst/>
        </a:prstGeom>
      </xdr:spPr>
    </xdr:pic>
    <xdr:clientData/>
  </xdr:twoCellAnchor>
  <xdr:twoCellAnchor>
    <xdr:from>
      <xdr:col>48</xdr:col>
      <xdr:colOff>552382</xdr:colOff>
      <xdr:row>91</xdr:row>
      <xdr:rowOff>38152</xdr:rowOff>
    </xdr:from>
    <xdr:to>
      <xdr:col>48</xdr:col>
      <xdr:colOff>3091692</xdr:colOff>
      <xdr:row>91</xdr:row>
      <xdr:rowOff>495300</xdr:rowOff>
    </xdr:to>
    <xdr:pic>
      <xdr:nvPicPr>
        <xdr:cNvPr id="6" name="Picture 5">
          <a:extLst>
            <a:ext uri="{FF2B5EF4-FFF2-40B4-BE49-F238E27FC236}">
              <a16:creationId xmlns:a16="http://schemas.microsoft.com/office/drawing/2014/main" id="{FC06C0FB-915A-45A0-9BB0-7F0412B271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19337" y="22967425"/>
          <a:ext cx="2539310" cy="457148"/>
        </a:xfrm>
        <a:prstGeom prst="rect">
          <a:avLst/>
        </a:prstGeom>
      </xdr:spPr>
    </xdr:pic>
    <xdr:clientData/>
  </xdr:twoCellAnchor>
  <xdr:twoCellAnchor>
    <xdr:from>
      <xdr:col>48</xdr:col>
      <xdr:colOff>1135016</xdr:colOff>
      <xdr:row>92</xdr:row>
      <xdr:rowOff>25463</xdr:rowOff>
    </xdr:from>
    <xdr:to>
      <xdr:col>48</xdr:col>
      <xdr:colOff>2509059</xdr:colOff>
      <xdr:row>92</xdr:row>
      <xdr:rowOff>483682</xdr:rowOff>
    </xdr:to>
    <xdr:pic>
      <xdr:nvPicPr>
        <xdr:cNvPr id="7" name="Picture 6">
          <a:extLst>
            <a:ext uri="{FF2B5EF4-FFF2-40B4-BE49-F238E27FC236}">
              <a16:creationId xmlns:a16="http://schemas.microsoft.com/office/drawing/2014/main" id="{94613AED-DE66-4E21-92A5-1BB4AABF0F0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001971" y="23474281"/>
          <a:ext cx="1374043" cy="458219"/>
        </a:xfrm>
        <a:prstGeom prst="rect">
          <a:avLst/>
        </a:prstGeom>
      </xdr:spPr>
    </xdr:pic>
    <xdr:clientData/>
  </xdr:twoCellAnchor>
  <xdr:twoCellAnchor>
    <xdr:from>
      <xdr:col>48</xdr:col>
      <xdr:colOff>492305</xdr:colOff>
      <xdr:row>94</xdr:row>
      <xdr:rowOff>19139</xdr:rowOff>
    </xdr:from>
    <xdr:to>
      <xdr:col>48</xdr:col>
      <xdr:colOff>3151769</xdr:colOff>
      <xdr:row>94</xdr:row>
      <xdr:rowOff>487849</xdr:rowOff>
    </xdr:to>
    <xdr:pic>
      <xdr:nvPicPr>
        <xdr:cNvPr id="8" name="Picture 7">
          <a:extLst>
            <a:ext uri="{FF2B5EF4-FFF2-40B4-BE49-F238E27FC236}">
              <a16:creationId xmlns:a16="http://schemas.microsoft.com/office/drawing/2014/main" id="{C68E8E87-49EE-4FFE-A2ED-B5DD9A339E9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359260" y="24507048"/>
          <a:ext cx="2659464" cy="468710"/>
        </a:xfrm>
        <a:prstGeom prst="rect">
          <a:avLst/>
        </a:prstGeom>
      </xdr:spPr>
    </xdr:pic>
    <xdr:clientData/>
  </xdr:twoCellAnchor>
  <xdr:twoCellAnchor>
    <xdr:from>
      <xdr:col>48</xdr:col>
      <xdr:colOff>1109768</xdr:colOff>
      <xdr:row>95</xdr:row>
      <xdr:rowOff>25501</xdr:rowOff>
    </xdr:from>
    <xdr:to>
      <xdr:col>48</xdr:col>
      <xdr:colOff>2534307</xdr:colOff>
      <xdr:row>95</xdr:row>
      <xdr:rowOff>483719</xdr:rowOff>
    </xdr:to>
    <xdr:pic>
      <xdr:nvPicPr>
        <xdr:cNvPr id="9" name="Picture 8">
          <a:extLst>
            <a:ext uri="{FF2B5EF4-FFF2-40B4-BE49-F238E27FC236}">
              <a16:creationId xmlns:a16="http://schemas.microsoft.com/office/drawing/2014/main" id="{783F7E74-83BC-4D35-8B92-CE532EB2DDC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976723" y="25032956"/>
          <a:ext cx="1424539" cy="458218"/>
        </a:xfrm>
        <a:prstGeom prst="rect">
          <a:avLst/>
        </a:prstGeom>
      </xdr:spPr>
    </xdr:pic>
    <xdr:clientData/>
  </xdr:twoCellAnchor>
  <xdr:twoCellAnchor>
    <xdr:from>
      <xdr:col>48</xdr:col>
      <xdr:colOff>473145</xdr:colOff>
      <xdr:row>96</xdr:row>
      <xdr:rowOff>115</xdr:rowOff>
    </xdr:from>
    <xdr:to>
      <xdr:col>48</xdr:col>
      <xdr:colOff>3170930</xdr:colOff>
      <xdr:row>96</xdr:row>
      <xdr:rowOff>458333</xdr:rowOff>
    </xdr:to>
    <xdr:pic>
      <xdr:nvPicPr>
        <xdr:cNvPr id="10" name="Picture 9">
          <a:extLst>
            <a:ext uri="{FF2B5EF4-FFF2-40B4-BE49-F238E27FC236}">
              <a16:creationId xmlns:a16="http://schemas.microsoft.com/office/drawing/2014/main" id="{400E3777-24EE-403A-BFBC-D341293ADA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340100" y="25527115"/>
          <a:ext cx="2697785" cy="458218"/>
        </a:xfrm>
        <a:prstGeom prst="rect">
          <a:avLst/>
        </a:prstGeom>
      </xdr:spPr>
    </xdr:pic>
    <xdr:clientData/>
  </xdr:twoCellAnchor>
  <xdr:twoCellAnchor>
    <xdr:from>
      <xdr:col>48</xdr:col>
      <xdr:colOff>87878</xdr:colOff>
      <xdr:row>97</xdr:row>
      <xdr:rowOff>44578</xdr:rowOff>
    </xdr:from>
    <xdr:to>
      <xdr:col>48</xdr:col>
      <xdr:colOff>3556197</xdr:colOff>
      <xdr:row>97</xdr:row>
      <xdr:rowOff>459528</xdr:rowOff>
    </xdr:to>
    <xdr:pic>
      <xdr:nvPicPr>
        <xdr:cNvPr id="11" name="Picture 10">
          <a:extLst>
            <a:ext uri="{FF2B5EF4-FFF2-40B4-BE49-F238E27FC236}">
              <a16:creationId xmlns:a16="http://schemas.microsoft.com/office/drawing/2014/main" id="{223407C6-0EAF-4E74-9FF5-F714171D7B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954833" y="26091123"/>
          <a:ext cx="3468319" cy="414950"/>
        </a:xfrm>
        <a:prstGeom prst="rect">
          <a:avLst/>
        </a:prstGeom>
      </xdr:spPr>
    </xdr:pic>
    <xdr:clientData/>
  </xdr:twoCellAnchor>
  <xdr:twoCellAnchor>
    <xdr:from>
      <xdr:col>48</xdr:col>
      <xdr:colOff>37417</xdr:colOff>
      <xdr:row>99</xdr:row>
      <xdr:rowOff>25553</xdr:rowOff>
    </xdr:from>
    <xdr:to>
      <xdr:col>48</xdr:col>
      <xdr:colOff>3606658</xdr:colOff>
      <xdr:row>99</xdr:row>
      <xdr:rowOff>435966</xdr:rowOff>
    </xdr:to>
    <xdr:pic>
      <xdr:nvPicPr>
        <xdr:cNvPr id="12" name="Picture 11">
          <a:extLst>
            <a:ext uri="{FF2B5EF4-FFF2-40B4-BE49-F238E27FC236}">
              <a16:creationId xmlns:a16="http://schemas.microsoft.com/office/drawing/2014/main" id="{D31DFDDA-3B19-4A4C-B0DF-D3C692B9CFD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904372" y="27111189"/>
          <a:ext cx="3569241" cy="410413"/>
        </a:xfrm>
        <a:prstGeom prst="rect">
          <a:avLst/>
        </a:prstGeom>
      </xdr:spPr>
    </xdr:pic>
    <xdr:clientData/>
  </xdr:twoCellAnchor>
  <xdr:twoCellAnchor>
    <xdr:from>
      <xdr:col>48</xdr:col>
      <xdr:colOff>473145</xdr:colOff>
      <xdr:row>100</xdr:row>
      <xdr:rowOff>165</xdr:rowOff>
    </xdr:from>
    <xdr:to>
      <xdr:col>48</xdr:col>
      <xdr:colOff>3170930</xdr:colOff>
      <xdr:row>100</xdr:row>
      <xdr:rowOff>458383</xdr:rowOff>
    </xdr:to>
    <xdr:pic>
      <xdr:nvPicPr>
        <xdr:cNvPr id="13" name="Picture 12">
          <a:extLst>
            <a:ext uri="{FF2B5EF4-FFF2-40B4-BE49-F238E27FC236}">
              <a16:creationId xmlns:a16="http://schemas.microsoft.com/office/drawing/2014/main" id="{59BD1AFC-D467-4C9C-A10A-17D86B6203B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340100" y="27605347"/>
          <a:ext cx="2697785" cy="458218"/>
        </a:xfrm>
        <a:prstGeom prst="rect">
          <a:avLst/>
        </a:prstGeom>
      </xdr:spPr>
    </xdr:pic>
    <xdr:clientData/>
  </xdr:twoCellAnchor>
  <xdr:twoCellAnchor>
    <xdr:from>
      <xdr:col>48</xdr:col>
      <xdr:colOff>50996</xdr:colOff>
      <xdr:row>101</xdr:row>
      <xdr:rowOff>57329</xdr:rowOff>
    </xdr:from>
    <xdr:to>
      <xdr:col>48</xdr:col>
      <xdr:colOff>3593079</xdr:colOff>
      <xdr:row>101</xdr:row>
      <xdr:rowOff>467019</xdr:rowOff>
    </xdr:to>
    <xdr:pic>
      <xdr:nvPicPr>
        <xdr:cNvPr id="14" name="Picture 13">
          <a:extLst>
            <a:ext uri="{FF2B5EF4-FFF2-40B4-BE49-F238E27FC236}">
              <a16:creationId xmlns:a16="http://schemas.microsoft.com/office/drawing/2014/main" id="{4F5C61B7-7E1F-4F13-860F-194AFBEDBC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917951" y="28182056"/>
          <a:ext cx="3542083" cy="409690"/>
        </a:xfrm>
        <a:prstGeom prst="rect">
          <a:avLst/>
        </a:prstGeom>
      </xdr:spPr>
    </xdr:pic>
    <xdr:clientData/>
  </xdr:twoCellAnchor>
  <xdr:twoCellAnchor>
    <xdr:from>
      <xdr:col>48</xdr:col>
      <xdr:colOff>107270</xdr:colOff>
      <xdr:row>102</xdr:row>
      <xdr:rowOff>190</xdr:rowOff>
    </xdr:from>
    <xdr:to>
      <xdr:col>48</xdr:col>
      <xdr:colOff>3536804</xdr:colOff>
      <xdr:row>102</xdr:row>
      <xdr:rowOff>458408</xdr:rowOff>
    </xdr:to>
    <xdr:pic>
      <xdr:nvPicPr>
        <xdr:cNvPr id="15" name="Picture 14">
          <a:extLst>
            <a:ext uri="{FF2B5EF4-FFF2-40B4-BE49-F238E27FC236}">
              <a16:creationId xmlns:a16="http://schemas.microsoft.com/office/drawing/2014/main" id="{DF9C5073-C760-460D-8066-6F42FF2CE5D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974225" y="28644463"/>
          <a:ext cx="3429534" cy="458218"/>
        </a:xfrm>
        <a:prstGeom prst="rect">
          <a:avLst/>
        </a:prstGeom>
      </xdr:spPr>
    </xdr:pic>
    <xdr:clientData/>
  </xdr:twoCellAnchor>
  <xdr:twoCellAnchor>
    <xdr:from>
      <xdr:col>48</xdr:col>
      <xdr:colOff>41021</xdr:colOff>
      <xdr:row>103</xdr:row>
      <xdr:rowOff>25605</xdr:rowOff>
    </xdr:from>
    <xdr:to>
      <xdr:col>48</xdr:col>
      <xdr:colOff>3603053</xdr:colOff>
      <xdr:row>103</xdr:row>
      <xdr:rowOff>429717</xdr:rowOff>
    </xdr:to>
    <xdr:pic>
      <xdr:nvPicPr>
        <xdr:cNvPr id="16" name="Picture 15">
          <a:extLst>
            <a:ext uri="{FF2B5EF4-FFF2-40B4-BE49-F238E27FC236}">
              <a16:creationId xmlns:a16="http://schemas.microsoft.com/office/drawing/2014/main" id="{F36C1A20-E75E-4AF3-B8C2-7E32703E9FB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907976" y="29189423"/>
          <a:ext cx="3562032" cy="404112"/>
        </a:xfrm>
        <a:prstGeom prst="rect">
          <a:avLst/>
        </a:prstGeom>
      </xdr:spPr>
    </xdr:pic>
    <xdr:clientData/>
  </xdr:twoCellAnchor>
  <xdr:twoCellAnchor>
    <xdr:from>
      <xdr:col>48</xdr:col>
      <xdr:colOff>754706</xdr:colOff>
      <xdr:row>104</xdr:row>
      <xdr:rowOff>6565</xdr:rowOff>
    </xdr:from>
    <xdr:to>
      <xdr:col>48</xdr:col>
      <xdr:colOff>2889369</xdr:colOff>
      <xdr:row>104</xdr:row>
      <xdr:rowOff>479424</xdr:rowOff>
    </xdr:to>
    <xdr:pic>
      <xdr:nvPicPr>
        <xdr:cNvPr id="17" name="Picture 16">
          <a:extLst>
            <a:ext uri="{FF2B5EF4-FFF2-40B4-BE49-F238E27FC236}">
              <a16:creationId xmlns:a16="http://schemas.microsoft.com/office/drawing/2014/main" id="{D2482AD6-7FD2-441F-88C9-E937CE82262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621661" y="29689929"/>
          <a:ext cx="2134663" cy="472859"/>
        </a:xfrm>
        <a:prstGeom prst="rect">
          <a:avLst/>
        </a:prstGeom>
      </xdr:spPr>
    </xdr:pic>
    <xdr:clientData/>
  </xdr:twoCellAnchor>
  <xdr:twoCellAnchor>
    <xdr:from>
      <xdr:col>48</xdr:col>
      <xdr:colOff>560495</xdr:colOff>
      <xdr:row>112</xdr:row>
      <xdr:rowOff>57468</xdr:rowOff>
    </xdr:from>
    <xdr:to>
      <xdr:col>48</xdr:col>
      <xdr:colOff>3083580</xdr:colOff>
      <xdr:row>112</xdr:row>
      <xdr:rowOff>427306</xdr:rowOff>
    </xdr:to>
    <xdr:pic>
      <xdr:nvPicPr>
        <xdr:cNvPr id="24" name="Picture 23">
          <a:extLst>
            <a:ext uri="{FF2B5EF4-FFF2-40B4-BE49-F238E27FC236}">
              <a16:creationId xmlns:a16="http://schemas.microsoft.com/office/drawing/2014/main" id="{A734ABAB-D7E7-4431-955F-8D223DDAC4D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4427450" y="33897195"/>
          <a:ext cx="2523085" cy="369838"/>
        </a:xfrm>
        <a:prstGeom prst="rect">
          <a:avLst/>
        </a:prstGeom>
      </xdr:spPr>
    </xdr:pic>
    <xdr:clientData/>
  </xdr:twoCellAnchor>
  <xdr:twoCellAnchor>
    <xdr:from>
      <xdr:col>48</xdr:col>
      <xdr:colOff>51007</xdr:colOff>
      <xdr:row>113</xdr:row>
      <xdr:rowOff>38430</xdr:rowOff>
    </xdr:from>
    <xdr:to>
      <xdr:col>48</xdr:col>
      <xdr:colOff>3593067</xdr:colOff>
      <xdr:row>113</xdr:row>
      <xdr:rowOff>408270</xdr:rowOff>
    </xdr:to>
    <xdr:pic>
      <xdr:nvPicPr>
        <xdr:cNvPr id="25" name="Picture 24">
          <a:extLst>
            <a:ext uri="{FF2B5EF4-FFF2-40B4-BE49-F238E27FC236}">
              <a16:creationId xmlns:a16="http://schemas.microsoft.com/office/drawing/2014/main" id="{02DBD91F-1880-4272-8F6B-D25C4441F7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917962" y="34397703"/>
          <a:ext cx="3542060" cy="369840"/>
        </a:xfrm>
        <a:prstGeom prst="rect">
          <a:avLst/>
        </a:prstGeom>
      </xdr:spPr>
    </xdr:pic>
    <xdr:clientData/>
  </xdr:twoCellAnchor>
  <xdr:twoCellAnchor>
    <xdr:from>
      <xdr:col>48</xdr:col>
      <xdr:colOff>51011</xdr:colOff>
      <xdr:row>114</xdr:row>
      <xdr:rowOff>57493</xdr:rowOff>
    </xdr:from>
    <xdr:to>
      <xdr:col>48</xdr:col>
      <xdr:colOff>3593064</xdr:colOff>
      <xdr:row>114</xdr:row>
      <xdr:rowOff>427331</xdr:rowOff>
    </xdr:to>
    <xdr:pic>
      <xdr:nvPicPr>
        <xdr:cNvPr id="26" name="Picture 25">
          <a:extLst>
            <a:ext uri="{FF2B5EF4-FFF2-40B4-BE49-F238E27FC236}">
              <a16:creationId xmlns:a16="http://schemas.microsoft.com/office/drawing/2014/main" id="{5A0CC4BB-848F-4FCD-9D8F-AAC5F805F52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917966" y="34936311"/>
          <a:ext cx="3542053" cy="369838"/>
        </a:xfrm>
        <a:prstGeom prst="rect">
          <a:avLst/>
        </a:prstGeom>
      </xdr:spPr>
    </xdr:pic>
    <xdr:clientData/>
  </xdr:twoCellAnchor>
  <xdr:twoCellAnchor>
    <xdr:from>
      <xdr:col>48</xdr:col>
      <xdr:colOff>1293471</xdr:colOff>
      <xdr:row>118</xdr:row>
      <xdr:rowOff>57150</xdr:rowOff>
    </xdr:from>
    <xdr:to>
      <xdr:col>48</xdr:col>
      <xdr:colOff>2350603</xdr:colOff>
      <xdr:row>118</xdr:row>
      <xdr:rowOff>504825</xdr:rowOff>
    </xdr:to>
    <xdr:pic>
      <xdr:nvPicPr>
        <xdr:cNvPr id="27" name="Picture 26" descr="2-Axle Rigid">
          <a:extLst>
            <a:ext uri="{FF2B5EF4-FFF2-40B4-BE49-F238E27FC236}">
              <a16:creationId xmlns:a16="http://schemas.microsoft.com/office/drawing/2014/main" id="{51F3FED4-6D13-4F9D-A641-1495BCDE0B2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5160426" y="37014150"/>
          <a:ext cx="1057132" cy="447675"/>
        </a:xfrm>
        <a:prstGeom prst="rect">
          <a:avLst/>
        </a:prstGeom>
      </xdr:spPr>
    </xdr:pic>
    <xdr:clientData/>
  </xdr:twoCellAnchor>
  <xdr:twoCellAnchor>
    <xdr:from>
      <xdr:col>48</xdr:col>
      <xdr:colOff>971814</xdr:colOff>
      <xdr:row>119</xdr:row>
      <xdr:rowOff>38506</xdr:rowOff>
    </xdr:from>
    <xdr:to>
      <xdr:col>48</xdr:col>
      <xdr:colOff>2672260</xdr:colOff>
      <xdr:row>119</xdr:row>
      <xdr:rowOff>457200</xdr:rowOff>
    </xdr:to>
    <xdr:pic>
      <xdr:nvPicPr>
        <xdr:cNvPr id="28" name="Picture 27">
          <a:extLst>
            <a:ext uri="{FF2B5EF4-FFF2-40B4-BE49-F238E27FC236}">
              <a16:creationId xmlns:a16="http://schemas.microsoft.com/office/drawing/2014/main" id="{F9BE4004-6D15-4907-BF29-F15D1B6C1DD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4838769" y="37515051"/>
          <a:ext cx="1700446" cy="418694"/>
        </a:xfrm>
        <a:prstGeom prst="rect">
          <a:avLst/>
        </a:prstGeom>
      </xdr:spPr>
    </xdr:pic>
    <xdr:clientData/>
  </xdr:twoCellAnchor>
  <xdr:twoCellAnchor>
    <xdr:from>
      <xdr:col>48</xdr:col>
      <xdr:colOff>898106</xdr:colOff>
      <xdr:row>122</xdr:row>
      <xdr:rowOff>444</xdr:rowOff>
    </xdr:from>
    <xdr:to>
      <xdr:col>48</xdr:col>
      <xdr:colOff>2745969</xdr:colOff>
      <xdr:row>122</xdr:row>
      <xdr:rowOff>457199</xdr:rowOff>
    </xdr:to>
    <xdr:pic>
      <xdr:nvPicPr>
        <xdr:cNvPr id="29" name="Picture 28">
          <a:extLst>
            <a:ext uri="{FF2B5EF4-FFF2-40B4-BE49-F238E27FC236}">
              <a16:creationId xmlns:a16="http://schemas.microsoft.com/office/drawing/2014/main" id="{6F52DDD3-A729-46BF-91ED-915BB50412D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765061" y="39035626"/>
          <a:ext cx="1847863" cy="456755"/>
        </a:xfrm>
        <a:prstGeom prst="rect">
          <a:avLst/>
        </a:prstGeom>
      </xdr:spPr>
    </xdr:pic>
    <xdr:clientData/>
  </xdr:twoCellAnchor>
  <xdr:twoCellAnchor>
    <xdr:from>
      <xdr:col>48</xdr:col>
      <xdr:colOff>818928</xdr:colOff>
      <xdr:row>123</xdr:row>
      <xdr:rowOff>457</xdr:rowOff>
    </xdr:from>
    <xdr:to>
      <xdr:col>48</xdr:col>
      <xdr:colOff>2825147</xdr:colOff>
      <xdr:row>123</xdr:row>
      <xdr:rowOff>469899</xdr:rowOff>
    </xdr:to>
    <xdr:pic>
      <xdr:nvPicPr>
        <xdr:cNvPr id="30" name="Picture 29">
          <a:extLst>
            <a:ext uri="{FF2B5EF4-FFF2-40B4-BE49-F238E27FC236}">
              <a16:creationId xmlns:a16="http://schemas.microsoft.com/office/drawing/2014/main" id="{562DC4D4-C7BD-4FCD-A79F-6CDA49FD286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4685883" y="39555184"/>
          <a:ext cx="2006219" cy="469442"/>
        </a:xfrm>
        <a:prstGeom prst="rect">
          <a:avLst/>
        </a:prstGeom>
      </xdr:spPr>
    </xdr:pic>
    <xdr:clientData/>
  </xdr:twoCellAnchor>
  <xdr:twoCellAnchor>
    <xdr:from>
      <xdr:col>48</xdr:col>
      <xdr:colOff>859271</xdr:colOff>
      <xdr:row>125</xdr:row>
      <xdr:rowOff>483</xdr:rowOff>
    </xdr:from>
    <xdr:to>
      <xdr:col>48</xdr:col>
      <xdr:colOff>2784803</xdr:colOff>
      <xdr:row>125</xdr:row>
      <xdr:rowOff>425450</xdr:rowOff>
    </xdr:to>
    <xdr:pic>
      <xdr:nvPicPr>
        <xdr:cNvPr id="31" name="Picture 30">
          <a:extLst>
            <a:ext uri="{FF2B5EF4-FFF2-40B4-BE49-F238E27FC236}">
              <a16:creationId xmlns:a16="http://schemas.microsoft.com/office/drawing/2014/main" id="{059FE708-F0F8-4746-9D5D-0D46F7EFCF3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4726226" y="40594301"/>
          <a:ext cx="1925532" cy="424967"/>
        </a:xfrm>
        <a:prstGeom prst="rect">
          <a:avLst/>
        </a:prstGeom>
      </xdr:spPr>
    </xdr:pic>
    <xdr:clientData/>
  </xdr:twoCellAnchor>
  <xdr:twoCellAnchor>
    <xdr:from>
      <xdr:col>48</xdr:col>
      <xdr:colOff>444131</xdr:colOff>
      <xdr:row>126</xdr:row>
      <xdr:rowOff>57645</xdr:rowOff>
    </xdr:from>
    <xdr:to>
      <xdr:col>48</xdr:col>
      <xdr:colOff>3199944</xdr:colOff>
      <xdr:row>126</xdr:row>
      <xdr:rowOff>457200</xdr:rowOff>
    </xdr:to>
    <xdr:pic>
      <xdr:nvPicPr>
        <xdr:cNvPr id="32" name="Picture 31">
          <a:extLst>
            <a:ext uri="{FF2B5EF4-FFF2-40B4-BE49-F238E27FC236}">
              <a16:creationId xmlns:a16="http://schemas.microsoft.com/office/drawing/2014/main" id="{0BFEBF47-7F0C-45A8-B5F9-D61E326D790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11086" y="41171009"/>
          <a:ext cx="2755813" cy="399555"/>
        </a:xfrm>
        <a:prstGeom prst="rect">
          <a:avLst/>
        </a:prstGeom>
      </xdr:spPr>
    </xdr:pic>
    <xdr:clientData/>
  </xdr:twoCellAnchor>
  <xdr:twoCellAnchor>
    <xdr:from>
      <xdr:col>48</xdr:col>
      <xdr:colOff>371428</xdr:colOff>
      <xdr:row>128</xdr:row>
      <xdr:rowOff>38620</xdr:rowOff>
    </xdr:from>
    <xdr:to>
      <xdr:col>48</xdr:col>
      <xdr:colOff>3272647</xdr:colOff>
      <xdr:row>128</xdr:row>
      <xdr:rowOff>438149</xdr:rowOff>
    </xdr:to>
    <xdr:pic>
      <xdr:nvPicPr>
        <xdr:cNvPr id="33" name="Picture 32">
          <a:extLst>
            <a:ext uri="{FF2B5EF4-FFF2-40B4-BE49-F238E27FC236}">
              <a16:creationId xmlns:a16="http://schemas.microsoft.com/office/drawing/2014/main" id="{2055A0BC-9947-4F7B-821F-9C8DCD74396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4238383" y="42191075"/>
          <a:ext cx="2901219" cy="399529"/>
        </a:xfrm>
        <a:prstGeom prst="rect">
          <a:avLst/>
        </a:prstGeom>
      </xdr:spPr>
    </xdr:pic>
    <xdr:clientData/>
  </xdr:twoCellAnchor>
  <xdr:twoCellAnchor>
    <xdr:from>
      <xdr:col>48</xdr:col>
      <xdr:colOff>634891</xdr:colOff>
      <xdr:row>130</xdr:row>
      <xdr:rowOff>19595</xdr:rowOff>
    </xdr:from>
    <xdr:to>
      <xdr:col>48</xdr:col>
      <xdr:colOff>3009183</xdr:colOff>
      <xdr:row>130</xdr:row>
      <xdr:rowOff>466724</xdr:rowOff>
    </xdr:to>
    <xdr:pic>
      <xdr:nvPicPr>
        <xdr:cNvPr id="34" name="Picture 33">
          <a:extLst>
            <a:ext uri="{FF2B5EF4-FFF2-40B4-BE49-F238E27FC236}">
              <a16:creationId xmlns:a16="http://schemas.microsoft.com/office/drawing/2014/main" id="{FF1C9DA8-AF24-40C7-8EF9-20805302E0E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501846" y="43211140"/>
          <a:ext cx="2374292" cy="447129"/>
        </a:xfrm>
        <a:prstGeom prst="rect">
          <a:avLst/>
        </a:prstGeom>
      </xdr:spPr>
    </xdr:pic>
    <xdr:clientData/>
  </xdr:twoCellAnchor>
  <xdr:twoCellAnchor>
    <xdr:from>
      <xdr:col>48</xdr:col>
      <xdr:colOff>1247587</xdr:colOff>
      <xdr:row>131</xdr:row>
      <xdr:rowOff>25959</xdr:rowOff>
    </xdr:from>
    <xdr:to>
      <xdr:col>48</xdr:col>
      <xdr:colOff>2396487</xdr:colOff>
      <xdr:row>131</xdr:row>
      <xdr:rowOff>473075</xdr:rowOff>
    </xdr:to>
    <xdr:pic>
      <xdr:nvPicPr>
        <xdr:cNvPr id="35" name="Picture 34">
          <a:extLst>
            <a:ext uri="{FF2B5EF4-FFF2-40B4-BE49-F238E27FC236}">
              <a16:creationId xmlns:a16="http://schemas.microsoft.com/office/drawing/2014/main" id="{6A1A2DEE-6EC7-4875-A409-889AE6A9634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5114542" y="43737050"/>
          <a:ext cx="1148900" cy="447116"/>
        </a:xfrm>
        <a:prstGeom prst="rect">
          <a:avLst/>
        </a:prstGeom>
      </xdr:spPr>
    </xdr:pic>
    <xdr:clientData/>
  </xdr:twoCellAnchor>
  <xdr:twoCellAnchor>
    <xdr:from>
      <xdr:col>48</xdr:col>
      <xdr:colOff>1182917</xdr:colOff>
      <xdr:row>132</xdr:row>
      <xdr:rowOff>45021</xdr:rowOff>
    </xdr:from>
    <xdr:to>
      <xdr:col>48</xdr:col>
      <xdr:colOff>2461157</xdr:colOff>
      <xdr:row>132</xdr:row>
      <xdr:rowOff>517524</xdr:rowOff>
    </xdr:to>
    <xdr:pic>
      <xdr:nvPicPr>
        <xdr:cNvPr id="36" name="Picture 35">
          <a:extLst>
            <a:ext uri="{FF2B5EF4-FFF2-40B4-BE49-F238E27FC236}">
              <a16:creationId xmlns:a16="http://schemas.microsoft.com/office/drawing/2014/main" id="{9023AD35-6811-4448-A3B8-FF096EABF55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5049872" y="44275657"/>
          <a:ext cx="1278240" cy="472503"/>
        </a:xfrm>
        <a:prstGeom prst="rect">
          <a:avLst/>
        </a:prstGeom>
      </xdr:spPr>
    </xdr:pic>
    <xdr:clientData/>
  </xdr:twoCellAnchor>
  <xdr:twoCellAnchor>
    <xdr:from>
      <xdr:col>48</xdr:col>
      <xdr:colOff>829560</xdr:colOff>
      <xdr:row>135</xdr:row>
      <xdr:rowOff>26010</xdr:rowOff>
    </xdr:from>
    <xdr:to>
      <xdr:col>48</xdr:col>
      <xdr:colOff>2814515</xdr:colOff>
      <xdr:row>135</xdr:row>
      <xdr:rowOff>454025</xdr:rowOff>
    </xdr:to>
    <xdr:pic>
      <xdr:nvPicPr>
        <xdr:cNvPr id="38" name="Picture 37">
          <a:extLst>
            <a:ext uri="{FF2B5EF4-FFF2-40B4-BE49-F238E27FC236}">
              <a16:creationId xmlns:a16="http://schemas.microsoft.com/office/drawing/2014/main" id="{FBBCAF98-F814-4D77-98CF-8D7E92BEF6B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4696515" y="45815283"/>
          <a:ext cx="1984955" cy="428015"/>
        </a:xfrm>
        <a:prstGeom prst="rect">
          <a:avLst/>
        </a:prstGeom>
      </xdr:spPr>
    </xdr:pic>
    <xdr:clientData/>
  </xdr:twoCellAnchor>
  <xdr:twoCellAnchor>
    <xdr:from>
      <xdr:col>48</xdr:col>
      <xdr:colOff>756363</xdr:colOff>
      <xdr:row>136</xdr:row>
      <xdr:rowOff>38723</xdr:rowOff>
    </xdr:from>
    <xdr:to>
      <xdr:col>48</xdr:col>
      <xdr:colOff>2887711</xdr:colOff>
      <xdr:row>136</xdr:row>
      <xdr:rowOff>466725</xdr:rowOff>
    </xdr:to>
    <xdr:pic>
      <xdr:nvPicPr>
        <xdr:cNvPr id="39" name="Picture 38">
          <a:extLst>
            <a:ext uri="{FF2B5EF4-FFF2-40B4-BE49-F238E27FC236}">
              <a16:creationId xmlns:a16="http://schemas.microsoft.com/office/drawing/2014/main" id="{C8C9B142-3F38-490F-A7BA-C07BE920B1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4623318" y="46347541"/>
          <a:ext cx="2131348" cy="428002"/>
        </a:xfrm>
        <a:prstGeom prst="rect">
          <a:avLst/>
        </a:prstGeom>
      </xdr:spPr>
    </xdr:pic>
    <xdr:clientData/>
  </xdr:twoCellAnchor>
  <xdr:twoCellAnchor>
    <xdr:from>
      <xdr:col>48</xdr:col>
      <xdr:colOff>806336</xdr:colOff>
      <xdr:row>137</xdr:row>
      <xdr:rowOff>45085</xdr:rowOff>
    </xdr:from>
    <xdr:to>
      <xdr:col>48</xdr:col>
      <xdr:colOff>2837738</xdr:colOff>
      <xdr:row>137</xdr:row>
      <xdr:rowOff>434975</xdr:rowOff>
    </xdr:to>
    <xdr:pic>
      <xdr:nvPicPr>
        <xdr:cNvPr id="40" name="Picture 39">
          <a:extLst>
            <a:ext uri="{FF2B5EF4-FFF2-40B4-BE49-F238E27FC236}">
              <a16:creationId xmlns:a16="http://schemas.microsoft.com/office/drawing/2014/main" id="{4CA29A0C-3525-42CC-9A9B-01FFB6B5EEA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673291" y="46873449"/>
          <a:ext cx="2031402" cy="389890"/>
        </a:xfrm>
        <a:prstGeom prst="rect">
          <a:avLst/>
        </a:prstGeom>
      </xdr:spPr>
    </xdr:pic>
    <xdr:clientData/>
  </xdr:twoCellAnchor>
  <xdr:twoCellAnchor>
    <xdr:from>
      <xdr:col>48</xdr:col>
      <xdr:colOff>1255064</xdr:colOff>
      <xdr:row>138</xdr:row>
      <xdr:rowOff>57798</xdr:rowOff>
    </xdr:from>
    <xdr:to>
      <xdr:col>48</xdr:col>
      <xdr:colOff>2389011</xdr:colOff>
      <xdr:row>138</xdr:row>
      <xdr:rowOff>419100</xdr:rowOff>
    </xdr:to>
    <xdr:pic>
      <xdr:nvPicPr>
        <xdr:cNvPr id="41" name="Picture 40">
          <a:extLst>
            <a:ext uri="{FF2B5EF4-FFF2-40B4-BE49-F238E27FC236}">
              <a16:creationId xmlns:a16="http://schemas.microsoft.com/office/drawing/2014/main" id="{D7247D4A-C776-4BD4-9A98-DACB6367653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5122019" y="47405707"/>
          <a:ext cx="1133947" cy="361302"/>
        </a:xfrm>
        <a:prstGeom prst="rect">
          <a:avLst/>
        </a:prstGeom>
      </xdr:spPr>
    </xdr:pic>
    <xdr:clientData/>
  </xdr:twoCellAnchor>
  <xdr:twoCellAnchor>
    <xdr:from>
      <xdr:col>48</xdr:col>
      <xdr:colOff>1510481</xdr:colOff>
      <xdr:row>139</xdr:row>
      <xdr:rowOff>88885</xdr:rowOff>
    </xdr:from>
    <xdr:to>
      <xdr:col>48</xdr:col>
      <xdr:colOff>2133594</xdr:colOff>
      <xdr:row>140</xdr:row>
      <xdr:rowOff>37823</xdr:rowOff>
    </xdr:to>
    <xdr:pic>
      <xdr:nvPicPr>
        <xdr:cNvPr id="42" name="Picture 41">
          <a:extLst>
            <a:ext uri="{FF2B5EF4-FFF2-40B4-BE49-F238E27FC236}">
              <a16:creationId xmlns:a16="http://schemas.microsoft.com/office/drawing/2014/main" id="{D0CEFC9F-7F2E-4904-BCDD-CB3E9BBA9C27}"/>
            </a:ext>
          </a:extLst>
        </xdr:cNvPr>
        <xdr:cNvPicPr>
          <a:picLocks noChangeAspect="1"/>
        </xdr:cNvPicPr>
      </xdr:nvPicPr>
      <xdr:blipFill>
        <a:blip xmlns:r="http://schemas.openxmlformats.org/officeDocument/2006/relationships" r:embed="rId33" cstate="print">
          <a:alphaModFix amt="0"/>
          <a:extLst>
            <a:ext uri="{28A0092B-C50C-407E-A947-70E740481C1C}">
              <a14:useLocalDpi xmlns:a14="http://schemas.microsoft.com/office/drawing/2010/main" val="0"/>
            </a:ext>
          </a:extLst>
        </a:blip>
        <a:stretch>
          <a:fillRect/>
        </a:stretch>
      </xdr:blipFill>
      <xdr:spPr>
        <a:xfrm>
          <a:off x="45377436" y="47956340"/>
          <a:ext cx="623113" cy="468483"/>
        </a:xfrm>
        <a:prstGeom prst="rect">
          <a:avLst/>
        </a:prstGeom>
      </xdr:spPr>
    </xdr:pic>
    <xdr:clientData/>
  </xdr:twoCellAnchor>
  <xdr:twoCellAnchor>
    <xdr:from>
      <xdr:col>48</xdr:col>
      <xdr:colOff>127440</xdr:colOff>
      <xdr:row>98</xdr:row>
      <xdr:rowOff>140</xdr:rowOff>
    </xdr:from>
    <xdr:to>
      <xdr:col>48</xdr:col>
      <xdr:colOff>3516635</xdr:colOff>
      <xdr:row>98</xdr:row>
      <xdr:rowOff>458358</xdr:rowOff>
    </xdr:to>
    <xdr:pic>
      <xdr:nvPicPr>
        <xdr:cNvPr id="43" name="Picture 42">
          <a:extLst>
            <a:ext uri="{FF2B5EF4-FFF2-40B4-BE49-F238E27FC236}">
              <a16:creationId xmlns:a16="http://schemas.microsoft.com/office/drawing/2014/main" id="{F11A3666-9BC7-4ED3-8002-2F8CE197605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3994395" y="26566231"/>
          <a:ext cx="3389195" cy="458218"/>
        </a:xfrm>
        <a:prstGeom prst="rect">
          <a:avLst/>
        </a:prstGeom>
      </xdr:spPr>
    </xdr:pic>
    <xdr:clientData/>
  </xdr:twoCellAnchor>
  <xdr:twoCellAnchor>
    <xdr:from>
      <xdr:col>48</xdr:col>
      <xdr:colOff>1299762</xdr:colOff>
      <xdr:row>121</xdr:row>
      <xdr:rowOff>27161</xdr:rowOff>
    </xdr:from>
    <xdr:to>
      <xdr:col>48</xdr:col>
      <xdr:colOff>2344313</xdr:colOff>
      <xdr:row>121</xdr:row>
      <xdr:rowOff>444500</xdr:rowOff>
    </xdr:to>
    <xdr:pic>
      <xdr:nvPicPr>
        <xdr:cNvPr id="44" name="Picture 43">
          <a:extLst>
            <a:ext uri="{FF2B5EF4-FFF2-40B4-BE49-F238E27FC236}">
              <a16:creationId xmlns:a16="http://schemas.microsoft.com/office/drawing/2014/main" id="{8D8BAB00-CB8F-4D6E-9CF1-D3A4383A094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5166717" y="38542797"/>
          <a:ext cx="1044551" cy="417339"/>
        </a:xfrm>
        <a:prstGeom prst="rect">
          <a:avLst/>
        </a:prstGeom>
      </xdr:spPr>
    </xdr:pic>
    <xdr:clientData/>
  </xdr:twoCellAnchor>
  <xdr:twoCellAnchor>
    <xdr:from>
      <xdr:col>48</xdr:col>
      <xdr:colOff>769440</xdr:colOff>
      <xdr:row>129</xdr:row>
      <xdr:rowOff>30438</xdr:rowOff>
    </xdr:from>
    <xdr:to>
      <xdr:col>48</xdr:col>
      <xdr:colOff>2874634</xdr:colOff>
      <xdr:row>129</xdr:row>
      <xdr:rowOff>457200</xdr:rowOff>
    </xdr:to>
    <xdr:pic>
      <xdr:nvPicPr>
        <xdr:cNvPr id="46" name="Picture 45">
          <a:extLst>
            <a:ext uri="{FF2B5EF4-FFF2-40B4-BE49-F238E27FC236}">
              <a16:creationId xmlns:a16="http://schemas.microsoft.com/office/drawing/2014/main" id="{6B17419A-3316-4BE3-BCAA-B225FF9FB7D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4636395" y="42702438"/>
          <a:ext cx="2105194" cy="426762"/>
        </a:xfrm>
        <a:prstGeom prst="rect">
          <a:avLst/>
        </a:prstGeom>
      </xdr:spPr>
    </xdr:pic>
    <xdr:clientData/>
  </xdr:twoCellAnchor>
  <xdr:twoCellAnchor>
    <xdr:from>
      <xdr:col>48</xdr:col>
      <xdr:colOff>875587</xdr:colOff>
      <xdr:row>124</xdr:row>
      <xdr:rowOff>7598</xdr:rowOff>
    </xdr:from>
    <xdr:to>
      <xdr:col>48</xdr:col>
      <xdr:colOff>2768488</xdr:colOff>
      <xdr:row>124</xdr:row>
      <xdr:rowOff>457200</xdr:rowOff>
    </xdr:to>
    <xdr:pic>
      <xdr:nvPicPr>
        <xdr:cNvPr id="47" name="Picture 46">
          <a:extLst>
            <a:ext uri="{FF2B5EF4-FFF2-40B4-BE49-F238E27FC236}">
              <a16:creationId xmlns:a16="http://schemas.microsoft.com/office/drawing/2014/main" id="{F6F4B247-F405-4205-97EC-56B6426ED29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742542" y="40081871"/>
          <a:ext cx="1892901" cy="449602"/>
        </a:xfrm>
        <a:prstGeom prst="rect">
          <a:avLst/>
        </a:prstGeom>
      </xdr:spPr>
    </xdr:pic>
    <xdr:clientData/>
  </xdr:twoCellAnchor>
  <xdr:twoCellAnchor>
    <xdr:from>
      <xdr:col>48</xdr:col>
      <xdr:colOff>345908</xdr:colOff>
      <xdr:row>117</xdr:row>
      <xdr:rowOff>95250</xdr:rowOff>
    </xdr:from>
    <xdr:to>
      <xdr:col>48</xdr:col>
      <xdr:colOff>3298166</xdr:colOff>
      <xdr:row>117</xdr:row>
      <xdr:rowOff>495300</xdr:rowOff>
    </xdr:to>
    <xdr:pic>
      <xdr:nvPicPr>
        <xdr:cNvPr id="49" name="Picture 48">
          <a:extLst>
            <a:ext uri="{FF2B5EF4-FFF2-40B4-BE49-F238E27FC236}">
              <a16:creationId xmlns:a16="http://schemas.microsoft.com/office/drawing/2014/main" id="{6996E892-6B88-4F23-BCA9-D4AA70BD606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4212863" y="36532705"/>
          <a:ext cx="2952258" cy="400050"/>
        </a:xfrm>
        <a:prstGeom prst="rect">
          <a:avLst/>
        </a:prstGeom>
      </xdr:spPr>
    </xdr:pic>
    <xdr:clientData/>
  </xdr:twoCellAnchor>
  <xdr:twoCellAnchor>
    <xdr:from>
      <xdr:col>48</xdr:col>
      <xdr:colOff>869580</xdr:colOff>
      <xdr:row>93</xdr:row>
      <xdr:rowOff>41238</xdr:rowOff>
    </xdr:from>
    <xdr:to>
      <xdr:col>48</xdr:col>
      <xdr:colOff>2774494</xdr:colOff>
      <xdr:row>93</xdr:row>
      <xdr:rowOff>463550</xdr:rowOff>
    </xdr:to>
    <xdr:pic>
      <xdr:nvPicPr>
        <xdr:cNvPr id="54" name="Picture 53">
          <a:extLst>
            <a:ext uri="{FF2B5EF4-FFF2-40B4-BE49-F238E27FC236}">
              <a16:creationId xmlns:a16="http://schemas.microsoft.com/office/drawing/2014/main" id="{78255CD5-F943-5110-40B1-C3BF58960BA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4736535" y="24009602"/>
          <a:ext cx="1904914" cy="422312"/>
        </a:xfrm>
        <a:prstGeom prst="rect">
          <a:avLst/>
        </a:prstGeom>
      </xdr:spPr>
    </xdr:pic>
    <xdr:clientData/>
  </xdr:twoCellAnchor>
  <xdr:twoCellAnchor>
    <xdr:from>
      <xdr:col>48</xdr:col>
      <xdr:colOff>62328</xdr:colOff>
      <xdr:row>105</xdr:row>
      <xdr:rowOff>47496</xdr:rowOff>
    </xdr:from>
    <xdr:to>
      <xdr:col>48</xdr:col>
      <xdr:colOff>3581747</xdr:colOff>
      <xdr:row>105</xdr:row>
      <xdr:rowOff>412320</xdr:rowOff>
    </xdr:to>
    <xdr:pic>
      <xdr:nvPicPr>
        <xdr:cNvPr id="56" name="Picture 55">
          <a:extLst>
            <a:ext uri="{FF2B5EF4-FFF2-40B4-BE49-F238E27FC236}">
              <a16:creationId xmlns:a16="http://schemas.microsoft.com/office/drawing/2014/main" id="{F7928121-B5A6-B078-D5DA-58E39360A23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3929283" y="30250405"/>
          <a:ext cx="3519419" cy="364824"/>
        </a:xfrm>
        <a:prstGeom prst="rect">
          <a:avLst/>
        </a:prstGeom>
      </xdr:spPr>
    </xdr:pic>
    <xdr:clientData/>
  </xdr:twoCellAnchor>
  <xdr:twoCellAnchor>
    <xdr:from>
      <xdr:col>48</xdr:col>
      <xdr:colOff>201294</xdr:colOff>
      <xdr:row>115</xdr:row>
      <xdr:rowOff>78849</xdr:rowOff>
    </xdr:from>
    <xdr:to>
      <xdr:col>48</xdr:col>
      <xdr:colOff>3442780</xdr:colOff>
      <xdr:row>115</xdr:row>
      <xdr:rowOff>456451</xdr:rowOff>
    </xdr:to>
    <xdr:pic>
      <xdr:nvPicPr>
        <xdr:cNvPr id="58" name="Picture 57">
          <a:extLst>
            <a:ext uri="{FF2B5EF4-FFF2-40B4-BE49-F238E27FC236}">
              <a16:creationId xmlns:a16="http://schemas.microsoft.com/office/drawing/2014/main" id="{AA072F52-0032-32E1-B7A8-E2190BC0BDA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4068249" y="35477213"/>
          <a:ext cx="3241486" cy="377602"/>
        </a:xfrm>
        <a:prstGeom prst="rect">
          <a:avLst/>
        </a:prstGeom>
      </xdr:spPr>
    </xdr:pic>
    <xdr:clientData/>
  </xdr:twoCellAnchor>
  <xdr:twoCellAnchor>
    <xdr:from>
      <xdr:col>48</xdr:col>
      <xdr:colOff>621324</xdr:colOff>
      <xdr:row>116</xdr:row>
      <xdr:rowOff>47602</xdr:rowOff>
    </xdr:from>
    <xdr:to>
      <xdr:col>48</xdr:col>
      <xdr:colOff>3022750</xdr:colOff>
      <xdr:row>116</xdr:row>
      <xdr:rowOff>463550</xdr:rowOff>
    </xdr:to>
    <xdr:pic>
      <xdr:nvPicPr>
        <xdr:cNvPr id="60" name="Picture 59">
          <a:extLst>
            <a:ext uri="{FF2B5EF4-FFF2-40B4-BE49-F238E27FC236}">
              <a16:creationId xmlns:a16="http://schemas.microsoft.com/office/drawing/2014/main" id="{4A025A47-39A8-C45F-9993-FE2527B76DB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4488279" y="35965511"/>
          <a:ext cx="2401426" cy="415948"/>
        </a:xfrm>
        <a:prstGeom prst="rect">
          <a:avLst/>
        </a:prstGeom>
      </xdr:spPr>
    </xdr:pic>
    <xdr:clientData/>
  </xdr:twoCellAnchor>
  <xdr:twoCellAnchor>
    <xdr:from>
      <xdr:col>48</xdr:col>
      <xdr:colOff>865790</xdr:colOff>
      <xdr:row>134</xdr:row>
      <xdr:rowOff>69056</xdr:rowOff>
    </xdr:from>
    <xdr:to>
      <xdr:col>48</xdr:col>
      <xdr:colOff>2778285</xdr:colOff>
      <xdr:row>134</xdr:row>
      <xdr:rowOff>476249</xdr:rowOff>
    </xdr:to>
    <xdr:pic>
      <xdr:nvPicPr>
        <xdr:cNvPr id="62" name="Picture 61">
          <a:extLst>
            <a:ext uri="{FF2B5EF4-FFF2-40B4-BE49-F238E27FC236}">
              <a16:creationId xmlns:a16="http://schemas.microsoft.com/office/drawing/2014/main" id="{88F6FE53-B14B-C386-F88B-D4EEA2526B9C}"/>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4732745" y="45338783"/>
          <a:ext cx="1912495" cy="4071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207818</xdr:colOff>
          <xdr:row>15</xdr:row>
          <xdr:rowOff>102506</xdr:rowOff>
        </xdr:from>
        <xdr:to>
          <xdr:col>32</xdr:col>
          <xdr:colOff>1209196</xdr:colOff>
          <xdr:row>18</xdr:row>
          <xdr:rowOff>162378</xdr:rowOff>
        </xdr:to>
        <xdr:pic>
          <xdr:nvPicPr>
            <xdr:cNvPr id="3264" name="Picture 3263">
              <a:extLst>
                <a:ext uri="{FF2B5EF4-FFF2-40B4-BE49-F238E27FC236}">
                  <a16:creationId xmlns:a16="http://schemas.microsoft.com/office/drawing/2014/main" id="{E19106D2-0796-403F-AAC4-BC1CB0CDF48C}"/>
                </a:ext>
              </a:extLst>
            </xdr:cNvPr>
            <xdr:cNvPicPr>
              <a:picLocks noChangeAspect="1"/>
              <a:extLst>
                <a:ext uri="{84589F7E-364E-4C9E-8A38-B11213B215E9}">
                  <a14:cameraTool cellRange="Image_PICC_B" spid="_x0000_s21883"/>
                </a:ext>
              </a:extLst>
            </xdr:cNvPicPr>
          </xdr:nvPicPr>
          <xdr:blipFill rotWithShape="1">
            <a:blip xmlns:r="http://schemas.openxmlformats.org/officeDocument/2006/relationships" r:embed="rId44"/>
            <a:srcRect l="-175" t="2" r="558" b="6137"/>
            <a:stretch>
              <a:fillRect/>
            </a:stretch>
          </xdr:blipFill>
          <xdr:spPr>
            <a:xfrm>
              <a:off x="25804091" y="3739324"/>
              <a:ext cx="6549546" cy="787236"/>
            </a:xfrm>
            <a:prstGeom prst="rect">
              <a:avLst/>
            </a:prstGeom>
          </xdr:spPr>
        </xdr:pic>
        <xdr:clientData/>
      </xdr:twoCellAnchor>
    </mc:Choice>
    <mc:Fallback/>
  </mc:AlternateContent>
  <xdr:twoCellAnchor editAs="oneCell">
    <xdr:from>
      <xdr:col>48</xdr:col>
      <xdr:colOff>959757</xdr:colOff>
      <xdr:row>88</xdr:row>
      <xdr:rowOff>31474</xdr:rowOff>
    </xdr:from>
    <xdr:to>
      <xdr:col>48</xdr:col>
      <xdr:colOff>2677432</xdr:colOff>
      <xdr:row>88</xdr:row>
      <xdr:rowOff>459669</xdr:rowOff>
    </xdr:to>
    <xdr:pic>
      <xdr:nvPicPr>
        <xdr:cNvPr id="52" name="Picture 51">
          <a:extLst>
            <a:ext uri="{FF2B5EF4-FFF2-40B4-BE49-F238E27FC236}">
              <a16:creationId xmlns:a16="http://schemas.microsoft.com/office/drawing/2014/main" id="{1D6351DB-A742-E5F5-D6BC-74AFD9F00F1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5128543" y="21626010"/>
          <a:ext cx="1717675" cy="428195"/>
        </a:xfrm>
        <a:prstGeom prst="rect">
          <a:avLst/>
        </a:prstGeom>
      </xdr:spPr>
    </xdr:pic>
    <xdr:clientData/>
  </xdr:twoCellAnchor>
  <xdr:twoCellAnchor editAs="oneCell">
    <xdr:from>
      <xdr:col>48</xdr:col>
      <xdr:colOff>1020536</xdr:colOff>
      <xdr:row>87</xdr:row>
      <xdr:rowOff>45419</xdr:rowOff>
    </xdr:from>
    <xdr:to>
      <xdr:col>48</xdr:col>
      <xdr:colOff>2582182</xdr:colOff>
      <xdr:row>87</xdr:row>
      <xdr:rowOff>485975</xdr:rowOff>
    </xdr:to>
    <xdr:pic>
      <xdr:nvPicPr>
        <xdr:cNvPr id="57" name="Picture 56">
          <a:extLst>
            <a:ext uri="{FF2B5EF4-FFF2-40B4-BE49-F238E27FC236}">
              <a16:creationId xmlns:a16="http://schemas.microsoft.com/office/drawing/2014/main" id="{BD44A12F-474B-2BC2-DC67-92BEB4A6981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5189322" y="21109276"/>
          <a:ext cx="1561646" cy="440556"/>
        </a:xfrm>
        <a:prstGeom prst="rect">
          <a:avLst/>
        </a:prstGeom>
      </xdr:spPr>
    </xdr:pic>
    <xdr:clientData/>
  </xdr:twoCellAnchor>
  <xdr:twoCellAnchor editAs="oneCell">
    <xdr:from>
      <xdr:col>48</xdr:col>
      <xdr:colOff>789215</xdr:colOff>
      <xdr:row>90</xdr:row>
      <xdr:rowOff>40821</xdr:rowOff>
    </xdr:from>
    <xdr:to>
      <xdr:col>48</xdr:col>
      <xdr:colOff>2698198</xdr:colOff>
      <xdr:row>90</xdr:row>
      <xdr:rowOff>459130</xdr:rowOff>
    </xdr:to>
    <xdr:pic>
      <xdr:nvPicPr>
        <xdr:cNvPr id="61" name="Picture 60">
          <a:extLst>
            <a:ext uri="{FF2B5EF4-FFF2-40B4-BE49-F238E27FC236}">
              <a16:creationId xmlns:a16="http://schemas.microsoft.com/office/drawing/2014/main" id="{0BDD4D44-ADAF-7354-B570-BD0793E4842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4958001" y="22696714"/>
          <a:ext cx="1915333" cy="418309"/>
        </a:xfrm>
        <a:prstGeom prst="rect">
          <a:avLst/>
        </a:prstGeom>
      </xdr:spPr>
    </xdr:pic>
    <xdr:clientData/>
  </xdr:twoCellAnchor>
  <xdr:twoCellAnchor editAs="oneCell">
    <xdr:from>
      <xdr:col>48</xdr:col>
      <xdr:colOff>911679</xdr:colOff>
      <xdr:row>106</xdr:row>
      <xdr:rowOff>27214</xdr:rowOff>
    </xdr:from>
    <xdr:to>
      <xdr:col>48</xdr:col>
      <xdr:colOff>2679373</xdr:colOff>
      <xdr:row>106</xdr:row>
      <xdr:rowOff>448698</xdr:rowOff>
    </xdr:to>
    <xdr:pic>
      <xdr:nvPicPr>
        <xdr:cNvPr id="3265" name="Picture 3264">
          <a:extLst>
            <a:ext uri="{FF2B5EF4-FFF2-40B4-BE49-F238E27FC236}">
              <a16:creationId xmlns:a16="http://schemas.microsoft.com/office/drawing/2014/main" id="{0549B57C-6C36-50DA-A68F-91D0AADEFAB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5080465" y="31173964"/>
          <a:ext cx="1774044" cy="421484"/>
        </a:xfrm>
        <a:prstGeom prst="rect">
          <a:avLst/>
        </a:prstGeom>
      </xdr:spPr>
    </xdr:pic>
    <xdr:clientData/>
  </xdr:twoCellAnchor>
  <xdr:twoCellAnchor editAs="oneCell">
    <xdr:from>
      <xdr:col>48</xdr:col>
      <xdr:colOff>894896</xdr:colOff>
      <xdr:row>107</xdr:row>
      <xdr:rowOff>13608</xdr:rowOff>
    </xdr:from>
    <xdr:to>
      <xdr:col>48</xdr:col>
      <xdr:colOff>2831660</xdr:colOff>
      <xdr:row>107</xdr:row>
      <xdr:rowOff>419217</xdr:rowOff>
    </xdr:to>
    <xdr:pic>
      <xdr:nvPicPr>
        <xdr:cNvPr id="3267" name="Picture 3266">
          <a:extLst>
            <a:ext uri="{FF2B5EF4-FFF2-40B4-BE49-F238E27FC236}">
              <a16:creationId xmlns:a16="http://schemas.microsoft.com/office/drawing/2014/main" id="{21E39C7B-9501-38B7-968E-8FA1FFFE8F7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5063682" y="31691037"/>
          <a:ext cx="1933589" cy="405609"/>
        </a:xfrm>
        <a:prstGeom prst="rect">
          <a:avLst/>
        </a:prstGeom>
      </xdr:spPr>
    </xdr:pic>
    <xdr:clientData/>
  </xdr:twoCellAnchor>
  <xdr:twoCellAnchor editAs="oneCell">
    <xdr:from>
      <xdr:col>48</xdr:col>
      <xdr:colOff>499381</xdr:colOff>
      <xdr:row>108</xdr:row>
      <xdr:rowOff>30389</xdr:rowOff>
    </xdr:from>
    <xdr:to>
      <xdr:col>48</xdr:col>
      <xdr:colOff>3096073</xdr:colOff>
      <xdr:row>108</xdr:row>
      <xdr:rowOff>473076</xdr:rowOff>
    </xdr:to>
    <xdr:pic>
      <xdr:nvPicPr>
        <xdr:cNvPr id="3271" name="Picture 3270">
          <a:extLst>
            <a:ext uri="{FF2B5EF4-FFF2-40B4-BE49-F238E27FC236}">
              <a16:creationId xmlns:a16="http://schemas.microsoft.com/office/drawing/2014/main" id="{4A0AA9BD-8E71-F944-F87F-4E0A5518FEB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44668167" y="32238496"/>
          <a:ext cx="2593517" cy="442687"/>
        </a:xfrm>
        <a:prstGeom prst="rect">
          <a:avLst/>
        </a:prstGeom>
      </xdr:spPr>
    </xdr:pic>
    <xdr:clientData/>
  </xdr:twoCellAnchor>
  <xdr:twoCellAnchor editAs="oneCell">
    <xdr:from>
      <xdr:col>48</xdr:col>
      <xdr:colOff>303439</xdr:colOff>
      <xdr:row>109</xdr:row>
      <xdr:rowOff>36739</xdr:rowOff>
    </xdr:from>
    <xdr:to>
      <xdr:col>48</xdr:col>
      <xdr:colOff>3212276</xdr:colOff>
      <xdr:row>109</xdr:row>
      <xdr:rowOff>503464</xdr:rowOff>
    </xdr:to>
    <xdr:pic>
      <xdr:nvPicPr>
        <xdr:cNvPr id="3273" name="Picture 3272">
          <a:extLst>
            <a:ext uri="{FF2B5EF4-FFF2-40B4-BE49-F238E27FC236}">
              <a16:creationId xmlns:a16="http://schemas.microsoft.com/office/drawing/2014/main" id="{E076F6A5-7EFA-B9C4-C9C4-184523E301F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44472225" y="32775525"/>
          <a:ext cx="2908837" cy="466725"/>
        </a:xfrm>
        <a:prstGeom prst="rect">
          <a:avLst/>
        </a:prstGeom>
      </xdr:spPr>
    </xdr:pic>
    <xdr:clientData/>
  </xdr:twoCellAnchor>
  <xdr:twoCellAnchor editAs="oneCell">
    <xdr:from>
      <xdr:col>48</xdr:col>
      <xdr:colOff>506639</xdr:colOff>
      <xdr:row>110</xdr:row>
      <xdr:rowOff>40820</xdr:rowOff>
    </xdr:from>
    <xdr:to>
      <xdr:col>48</xdr:col>
      <xdr:colOff>3059734</xdr:colOff>
      <xdr:row>110</xdr:row>
      <xdr:rowOff>476249</xdr:rowOff>
    </xdr:to>
    <xdr:pic>
      <xdr:nvPicPr>
        <xdr:cNvPr id="3275" name="Picture 3274">
          <a:extLst>
            <a:ext uri="{FF2B5EF4-FFF2-40B4-BE49-F238E27FC236}">
              <a16:creationId xmlns:a16="http://schemas.microsoft.com/office/drawing/2014/main" id="{BA20E0F4-5A23-9BFE-C7A9-344F940FC63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44675425" y="33310284"/>
          <a:ext cx="2556270" cy="435429"/>
        </a:xfrm>
        <a:prstGeom prst="rect">
          <a:avLst/>
        </a:prstGeom>
      </xdr:spPr>
    </xdr:pic>
    <xdr:clientData/>
  </xdr:twoCellAnchor>
  <xdr:twoCellAnchor editAs="oneCell">
    <xdr:from>
      <xdr:col>48</xdr:col>
      <xdr:colOff>340178</xdr:colOff>
      <xdr:row>111</xdr:row>
      <xdr:rowOff>27214</xdr:rowOff>
    </xdr:from>
    <xdr:to>
      <xdr:col>48</xdr:col>
      <xdr:colOff>3211641</xdr:colOff>
      <xdr:row>111</xdr:row>
      <xdr:rowOff>503464</xdr:rowOff>
    </xdr:to>
    <xdr:pic>
      <xdr:nvPicPr>
        <xdr:cNvPr id="3277" name="Picture 3276">
          <a:extLst>
            <a:ext uri="{FF2B5EF4-FFF2-40B4-BE49-F238E27FC236}">
              <a16:creationId xmlns:a16="http://schemas.microsoft.com/office/drawing/2014/main" id="{431D36F2-EC82-B744-7AF0-918296462CCD}"/>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44508964" y="33827357"/>
          <a:ext cx="2877813" cy="476250"/>
        </a:xfrm>
        <a:prstGeom prst="rect">
          <a:avLst/>
        </a:prstGeom>
      </xdr:spPr>
    </xdr:pic>
    <xdr:clientData/>
  </xdr:twoCellAnchor>
  <xdr:twoCellAnchor editAs="oneCell">
    <xdr:from>
      <xdr:col>48</xdr:col>
      <xdr:colOff>867683</xdr:colOff>
      <xdr:row>120</xdr:row>
      <xdr:rowOff>54428</xdr:rowOff>
    </xdr:from>
    <xdr:to>
      <xdr:col>48</xdr:col>
      <xdr:colOff>2603313</xdr:colOff>
      <xdr:row>120</xdr:row>
      <xdr:rowOff>449035</xdr:rowOff>
    </xdr:to>
    <xdr:pic>
      <xdr:nvPicPr>
        <xdr:cNvPr id="3279" name="Picture 3278">
          <a:extLst>
            <a:ext uri="{FF2B5EF4-FFF2-40B4-BE49-F238E27FC236}">
              <a16:creationId xmlns:a16="http://schemas.microsoft.com/office/drawing/2014/main" id="{0959CB34-5F83-D34E-A715-36201D819343}"/>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5036469" y="38630678"/>
          <a:ext cx="1732455" cy="388257"/>
        </a:xfrm>
        <a:prstGeom prst="rect">
          <a:avLst/>
        </a:prstGeom>
      </xdr:spPr>
    </xdr:pic>
    <xdr:clientData/>
  </xdr:twoCellAnchor>
  <xdr:twoCellAnchor editAs="oneCell">
    <xdr:from>
      <xdr:col>48</xdr:col>
      <xdr:colOff>952500</xdr:colOff>
      <xdr:row>127</xdr:row>
      <xdr:rowOff>68036</xdr:rowOff>
    </xdr:from>
    <xdr:to>
      <xdr:col>48</xdr:col>
      <xdr:colOff>2791632</xdr:colOff>
      <xdr:row>127</xdr:row>
      <xdr:rowOff>449833</xdr:rowOff>
    </xdr:to>
    <xdr:pic>
      <xdr:nvPicPr>
        <xdr:cNvPr id="3281" name="Picture 3280">
          <a:extLst>
            <a:ext uri="{FF2B5EF4-FFF2-40B4-BE49-F238E27FC236}">
              <a16:creationId xmlns:a16="http://schemas.microsoft.com/office/drawing/2014/main" id="{281FFA79-602A-5F51-1BBC-312F73C85B5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5121286" y="42359036"/>
          <a:ext cx="1839132" cy="375447"/>
        </a:xfrm>
        <a:prstGeom prst="rect">
          <a:avLst/>
        </a:prstGeom>
      </xdr:spPr>
    </xdr:pic>
    <xdr:clientData/>
  </xdr:twoCellAnchor>
  <xdr:twoCellAnchor editAs="oneCell">
    <xdr:from>
      <xdr:col>48</xdr:col>
      <xdr:colOff>993321</xdr:colOff>
      <xdr:row>133</xdr:row>
      <xdr:rowOff>108857</xdr:rowOff>
    </xdr:from>
    <xdr:to>
      <xdr:col>48</xdr:col>
      <xdr:colOff>2635602</xdr:colOff>
      <xdr:row>133</xdr:row>
      <xdr:rowOff>487479</xdr:rowOff>
    </xdr:to>
    <xdr:pic>
      <xdr:nvPicPr>
        <xdr:cNvPr id="3283" name="Picture 3282">
          <a:extLst>
            <a:ext uri="{FF2B5EF4-FFF2-40B4-BE49-F238E27FC236}">
              <a16:creationId xmlns:a16="http://schemas.microsoft.com/office/drawing/2014/main" id="{85EC59AF-78C4-07E2-C8FC-9A7413C2E374}"/>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5162107" y="45583928"/>
          <a:ext cx="1645456" cy="378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2970494</xdr:colOff>
      <xdr:row>5</xdr:row>
      <xdr:rowOff>46243</xdr:rowOff>
    </xdr:from>
    <xdr:to>
      <xdr:col>11</xdr:col>
      <xdr:colOff>654</xdr:colOff>
      <xdr:row>6</xdr:row>
      <xdr:rowOff>160054</xdr:rowOff>
    </xdr:to>
    <xdr:pic>
      <xdr:nvPicPr>
        <xdr:cNvPr id="2" name="Picture 1">
          <a:extLst>
            <a:ext uri="{FF2B5EF4-FFF2-40B4-BE49-F238E27FC236}">
              <a16:creationId xmlns:a16="http://schemas.microsoft.com/office/drawing/2014/main" id="{2E64B7D5-EA1A-4157-AE29-952E9776A72A}"/>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684994" y="954293"/>
          <a:ext cx="0" cy="294786"/>
        </a:xfrm>
        <a:prstGeom prst="rect">
          <a:avLst/>
        </a:prstGeom>
      </xdr:spPr>
    </xdr:pic>
    <xdr:clientData/>
  </xdr:twoCellAnchor>
  <xdr:twoCellAnchor>
    <xdr:from>
      <xdr:col>11</xdr:col>
      <xdr:colOff>2333626</xdr:colOff>
      <xdr:row>9</xdr:row>
      <xdr:rowOff>64340</xdr:rowOff>
    </xdr:from>
    <xdr:to>
      <xdr:col>11</xdr:col>
      <xdr:colOff>655</xdr:colOff>
      <xdr:row>10</xdr:row>
      <xdr:rowOff>162776</xdr:rowOff>
    </xdr:to>
    <xdr:pic>
      <xdr:nvPicPr>
        <xdr:cNvPr id="3" name="Picture 2">
          <a:extLst>
            <a:ext uri="{FF2B5EF4-FFF2-40B4-BE49-F238E27FC236}">
              <a16:creationId xmlns:a16="http://schemas.microsoft.com/office/drawing/2014/main" id="{F696B12C-A2EF-4A27-BC33-004DA5A3595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044951" y="1696290"/>
          <a:ext cx="0" cy="273061"/>
        </a:xfrm>
        <a:prstGeom prst="rect">
          <a:avLst/>
        </a:prstGeom>
      </xdr:spPr>
    </xdr:pic>
    <xdr:clientData/>
  </xdr:twoCellAnchor>
  <xdr:twoCellAnchor>
    <xdr:from>
      <xdr:col>11</xdr:col>
      <xdr:colOff>2698200</xdr:colOff>
      <xdr:row>7</xdr:row>
      <xdr:rowOff>25906</xdr:rowOff>
    </xdr:from>
    <xdr:to>
      <xdr:col>11</xdr:col>
      <xdr:colOff>654</xdr:colOff>
      <xdr:row>7</xdr:row>
      <xdr:rowOff>336411</xdr:rowOff>
    </xdr:to>
    <xdr:pic>
      <xdr:nvPicPr>
        <xdr:cNvPr id="4" name="Picture 9">
          <a:extLst>
            <a:ext uri="{FF2B5EF4-FFF2-40B4-BE49-F238E27FC236}">
              <a16:creationId xmlns:a16="http://schemas.microsoft.com/office/drawing/2014/main" id="{A5F3AD98-A157-4CB9-9BD9-85BC8CDD756A}"/>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4409525" y="1295906"/>
          <a:ext cx="0" cy="151755"/>
        </a:xfrm>
        <a:prstGeom prst="rect">
          <a:avLst/>
        </a:prstGeom>
      </xdr:spPr>
    </xdr:pic>
    <xdr:clientData/>
  </xdr:twoCellAnchor>
  <xdr:twoCellAnchor>
    <xdr:from>
      <xdr:col>11</xdr:col>
      <xdr:colOff>2562226</xdr:colOff>
      <xdr:row>8</xdr:row>
      <xdr:rowOff>18004</xdr:rowOff>
    </xdr:from>
    <xdr:to>
      <xdr:col>11</xdr:col>
      <xdr:colOff>655</xdr:colOff>
      <xdr:row>9</xdr:row>
      <xdr:rowOff>0</xdr:rowOff>
    </xdr:to>
    <xdr:pic>
      <xdr:nvPicPr>
        <xdr:cNvPr id="5" name="Picture 10">
          <a:extLst>
            <a:ext uri="{FF2B5EF4-FFF2-40B4-BE49-F238E27FC236}">
              <a16:creationId xmlns:a16="http://schemas.microsoft.com/office/drawing/2014/main" id="{313DBD5C-9F74-4DE2-88F2-BD05BC5209C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4273551" y="1465804"/>
          <a:ext cx="0" cy="162971"/>
        </a:xfrm>
        <a:prstGeom prst="rect">
          <a:avLst/>
        </a:prstGeom>
      </xdr:spPr>
    </xdr:pic>
    <xdr:clientData/>
  </xdr:twoCellAnchor>
  <xdr:twoCellAnchor>
    <xdr:from>
      <xdr:col>11</xdr:col>
      <xdr:colOff>2295526</xdr:colOff>
      <xdr:row>11</xdr:row>
      <xdr:rowOff>30751</xdr:rowOff>
    </xdr:from>
    <xdr:to>
      <xdr:col>11</xdr:col>
      <xdr:colOff>655</xdr:colOff>
      <xdr:row>12</xdr:row>
      <xdr:rowOff>163562</xdr:rowOff>
    </xdr:to>
    <xdr:pic>
      <xdr:nvPicPr>
        <xdr:cNvPr id="6" name="Picture 5">
          <a:extLst>
            <a:ext uri="{FF2B5EF4-FFF2-40B4-BE49-F238E27FC236}">
              <a16:creationId xmlns:a16="http://schemas.microsoft.com/office/drawing/2014/main" id="{6C114553-D02E-4075-8664-8184D94D89F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06851" y="2018301"/>
          <a:ext cx="0" cy="313786"/>
        </a:xfrm>
        <a:prstGeom prst="rect">
          <a:avLst/>
        </a:prstGeom>
      </xdr:spPr>
    </xdr:pic>
    <xdr:clientData/>
  </xdr:twoCellAnchor>
  <xdr:twoCellAnchor>
    <xdr:from>
      <xdr:col>11</xdr:col>
      <xdr:colOff>2295526</xdr:colOff>
      <xdr:row>11</xdr:row>
      <xdr:rowOff>30751</xdr:rowOff>
    </xdr:from>
    <xdr:to>
      <xdr:col>11</xdr:col>
      <xdr:colOff>655</xdr:colOff>
      <xdr:row>12</xdr:row>
      <xdr:rowOff>163562</xdr:rowOff>
    </xdr:to>
    <xdr:pic>
      <xdr:nvPicPr>
        <xdr:cNvPr id="7" name="Picture 6">
          <a:extLst>
            <a:ext uri="{FF2B5EF4-FFF2-40B4-BE49-F238E27FC236}">
              <a16:creationId xmlns:a16="http://schemas.microsoft.com/office/drawing/2014/main" id="{26EF7448-2384-4BDA-B7C6-ED3A406CE7F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06851" y="2018301"/>
          <a:ext cx="0" cy="313786"/>
        </a:xfrm>
        <a:prstGeom prst="rect">
          <a:avLst/>
        </a:prstGeom>
      </xdr:spPr>
    </xdr:pic>
    <xdr:clientData/>
  </xdr:twoCellAnchor>
  <xdr:twoCellAnchor>
    <xdr:from>
      <xdr:col>11</xdr:col>
      <xdr:colOff>2271785</xdr:colOff>
      <xdr:row>18</xdr:row>
      <xdr:rowOff>35929</xdr:rowOff>
    </xdr:from>
    <xdr:to>
      <xdr:col>11</xdr:col>
      <xdr:colOff>1561</xdr:colOff>
      <xdr:row>19</xdr:row>
      <xdr:rowOff>9525</xdr:rowOff>
    </xdr:to>
    <xdr:pic>
      <xdr:nvPicPr>
        <xdr:cNvPr id="8" name="Picture 22">
          <a:extLst>
            <a:ext uri="{FF2B5EF4-FFF2-40B4-BE49-F238E27FC236}">
              <a16:creationId xmlns:a16="http://schemas.microsoft.com/office/drawing/2014/main" id="{9BF79E05-97F0-48E8-BFAA-45FC4694EAB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3989460" y="3293479"/>
          <a:ext cx="0" cy="151396"/>
        </a:xfrm>
        <a:prstGeom prst="rect">
          <a:avLst/>
        </a:prstGeom>
      </xdr:spPr>
    </xdr:pic>
    <xdr:clientData/>
  </xdr:twoCellAnchor>
  <xdr:twoCellAnchor>
    <xdr:from>
      <xdr:col>11</xdr:col>
      <xdr:colOff>2970494</xdr:colOff>
      <xdr:row>5</xdr:row>
      <xdr:rowOff>46243</xdr:rowOff>
    </xdr:from>
    <xdr:to>
      <xdr:col>11</xdr:col>
      <xdr:colOff>654</xdr:colOff>
      <xdr:row>6</xdr:row>
      <xdr:rowOff>160054</xdr:rowOff>
    </xdr:to>
    <xdr:pic>
      <xdr:nvPicPr>
        <xdr:cNvPr id="9" name="Picture 1">
          <a:extLst>
            <a:ext uri="{FF2B5EF4-FFF2-40B4-BE49-F238E27FC236}">
              <a16:creationId xmlns:a16="http://schemas.microsoft.com/office/drawing/2014/main" id="{BBCB9410-EBF8-4120-921F-FA04B965E86C}"/>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684994" y="954293"/>
          <a:ext cx="0" cy="294786"/>
        </a:xfrm>
        <a:prstGeom prst="rect">
          <a:avLst/>
        </a:prstGeom>
      </xdr:spPr>
    </xdr:pic>
    <xdr:clientData/>
  </xdr:twoCellAnchor>
  <xdr:twoCellAnchor>
    <xdr:from>
      <xdr:col>11</xdr:col>
      <xdr:colOff>2333626</xdr:colOff>
      <xdr:row>9</xdr:row>
      <xdr:rowOff>64340</xdr:rowOff>
    </xdr:from>
    <xdr:to>
      <xdr:col>11</xdr:col>
      <xdr:colOff>655</xdr:colOff>
      <xdr:row>10</xdr:row>
      <xdr:rowOff>162776</xdr:rowOff>
    </xdr:to>
    <xdr:pic>
      <xdr:nvPicPr>
        <xdr:cNvPr id="10" name="Picture 2">
          <a:extLst>
            <a:ext uri="{FF2B5EF4-FFF2-40B4-BE49-F238E27FC236}">
              <a16:creationId xmlns:a16="http://schemas.microsoft.com/office/drawing/2014/main" id="{7C675DF1-1789-45EF-8DB4-B5407B635E5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044951" y="1696290"/>
          <a:ext cx="0" cy="273061"/>
        </a:xfrm>
        <a:prstGeom prst="rect">
          <a:avLst/>
        </a:prstGeom>
      </xdr:spPr>
    </xdr:pic>
    <xdr:clientData/>
  </xdr:twoCellAnchor>
  <xdr:twoCellAnchor>
    <xdr:from>
      <xdr:col>11</xdr:col>
      <xdr:colOff>2971800</xdr:colOff>
      <xdr:row>3</xdr:row>
      <xdr:rowOff>57978</xdr:rowOff>
    </xdr:from>
    <xdr:to>
      <xdr:col>11</xdr:col>
      <xdr:colOff>257</xdr:colOff>
      <xdr:row>5</xdr:row>
      <xdr:rowOff>1480</xdr:rowOff>
    </xdr:to>
    <xdr:pic>
      <xdr:nvPicPr>
        <xdr:cNvPr id="11" name="Picture 8">
          <a:extLst>
            <a:ext uri="{FF2B5EF4-FFF2-40B4-BE49-F238E27FC236}">
              <a16:creationId xmlns:a16="http://schemas.microsoft.com/office/drawing/2014/main" id="{84E613F7-D106-437A-B560-1CFA777B216B}"/>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4686300" y="600903"/>
          <a:ext cx="0" cy="305452"/>
        </a:xfrm>
        <a:prstGeom prst="rect">
          <a:avLst/>
        </a:prstGeom>
      </xdr:spPr>
    </xdr:pic>
    <xdr:clientData/>
  </xdr:twoCellAnchor>
  <xdr:twoCellAnchor>
    <xdr:from>
      <xdr:col>11</xdr:col>
      <xdr:colOff>2698200</xdr:colOff>
      <xdr:row>7</xdr:row>
      <xdr:rowOff>25906</xdr:rowOff>
    </xdr:from>
    <xdr:to>
      <xdr:col>11</xdr:col>
      <xdr:colOff>654</xdr:colOff>
      <xdr:row>7</xdr:row>
      <xdr:rowOff>336411</xdr:rowOff>
    </xdr:to>
    <xdr:pic>
      <xdr:nvPicPr>
        <xdr:cNvPr id="12" name="Picture 9">
          <a:extLst>
            <a:ext uri="{FF2B5EF4-FFF2-40B4-BE49-F238E27FC236}">
              <a16:creationId xmlns:a16="http://schemas.microsoft.com/office/drawing/2014/main" id="{A5FA6932-0677-4134-9FFB-AD09C0A21388}"/>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4409525" y="1295906"/>
          <a:ext cx="0" cy="151755"/>
        </a:xfrm>
        <a:prstGeom prst="rect">
          <a:avLst/>
        </a:prstGeom>
      </xdr:spPr>
    </xdr:pic>
    <xdr:clientData/>
  </xdr:twoCellAnchor>
  <xdr:twoCellAnchor>
    <xdr:from>
      <xdr:col>11</xdr:col>
      <xdr:colOff>2562226</xdr:colOff>
      <xdr:row>8</xdr:row>
      <xdr:rowOff>18004</xdr:rowOff>
    </xdr:from>
    <xdr:to>
      <xdr:col>11</xdr:col>
      <xdr:colOff>655</xdr:colOff>
      <xdr:row>9</xdr:row>
      <xdr:rowOff>0</xdr:rowOff>
    </xdr:to>
    <xdr:pic>
      <xdr:nvPicPr>
        <xdr:cNvPr id="13" name="Picture 10">
          <a:extLst>
            <a:ext uri="{FF2B5EF4-FFF2-40B4-BE49-F238E27FC236}">
              <a16:creationId xmlns:a16="http://schemas.microsoft.com/office/drawing/2014/main" id="{69E6CDF8-546D-4A44-B637-A94904D1334A}"/>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4273551" y="1465804"/>
          <a:ext cx="0" cy="162971"/>
        </a:xfrm>
        <a:prstGeom prst="rect">
          <a:avLst/>
        </a:prstGeom>
      </xdr:spPr>
    </xdr:pic>
    <xdr:clientData/>
  </xdr:twoCellAnchor>
  <xdr:twoCellAnchor>
    <xdr:from>
      <xdr:col>11</xdr:col>
      <xdr:colOff>2295526</xdr:colOff>
      <xdr:row>11</xdr:row>
      <xdr:rowOff>30751</xdr:rowOff>
    </xdr:from>
    <xdr:to>
      <xdr:col>11</xdr:col>
      <xdr:colOff>655</xdr:colOff>
      <xdr:row>12</xdr:row>
      <xdr:rowOff>163562</xdr:rowOff>
    </xdr:to>
    <xdr:pic>
      <xdr:nvPicPr>
        <xdr:cNvPr id="14" name="Picture 13">
          <a:extLst>
            <a:ext uri="{FF2B5EF4-FFF2-40B4-BE49-F238E27FC236}">
              <a16:creationId xmlns:a16="http://schemas.microsoft.com/office/drawing/2014/main" id="{C1EBB1D3-4BEE-4136-B751-03CF3E9C013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06851" y="2018301"/>
          <a:ext cx="0" cy="313786"/>
        </a:xfrm>
        <a:prstGeom prst="rect">
          <a:avLst/>
        </a:prstGeom>
      </xdr:spPr>
    </xdr:pic>
    <xdr:clientData/>
  </xdr:twoCellAnchor>
  <xdr:twoCellAnchor>
    <xdr:from>
      <xdr:col>11</xdr:col>
      <xdr:colOff>2295526</xdr:colOff>
      <xdr:row>11</xdr:row>
      <xdr:rowOff>30751</xdr:rowOff>
    </xdr:from>
    <xdr:to>
      <xdr:col>11</xdr:col>
      <xdr:colOff>655</xdr:colOff>
      <xdr:row>12</xdr:row>
      <xdr:rowOff>163562</xdr:rowOff>
    </xdr:to>
    <xdr:pic>
      <xdr:nvPicPr>
        <xdr:cNvPr id="15" name="Picture 14">
          <a:extLst>
            <a:ext uri="{FF2B5EF4-FFF2-40B4-BE49-F238E27FC236}">
              <a16:creationId xmlns:a16="http://schemas.microsoft.com/office/drawing/2014/main" id="{88BB3D8C-1AAA-4F88-979C-1478FC7E680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06851" y="2018301"/>
          <a:ext cx="0" cy="313786"/>
        </a:xfrm>
        <a:prstGeom prst="rect">
          <a:avLst/>
        </a:prstGeom>
      </xdr:spPr>
    </xdr:pic>
    <xdr:clientData/>
  </xdr:twoCellAnchor>
  <xdr:twoCellAnchor>
    <xdr:from>
      <xdr:col>11</xdr:col>
      <xdr:colOff>2271785</xdr:colOff>
      <xdr:row>18</xdr:row>
      <xdr:rowOff>35929</xdr:rowOff>
    </xdr:from>
    <xdr:to>
      <xdr:col>11</xdr:col>
      <xdr:colOff>1561</xdr:colOff>
      <xdr:row>19</xdr:row>
      <xdr:rowOff>9525</xdr:rowOff>
    </xdr:to>
    <xdr:pic>
      <xdr:nvPicPr>
        <xdr:cNvPr id="16" name="Picture 22">
          <a:extLst>
            <a:ext uri="{FF2B5EF4-FFF2-40B4-BE49-F238E27FC236}">
              <a16:creationId xmlns:a16="http://schemas.microsoft.com/office/drawing/2014/main" id="{2B780911-D983-4795-9161-DD297192FD5F}"/>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3989460" y="3293479"/>
          <a:ext cx="0" cy="15139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16BDC2-FF4B-417A-B0E8-35B8C260F054}" name="Axle_Data" displayName="Axle_Data" ref="B3:J72" totalsRowShown="0" headerRowDxfId="131" dataDxfId="129" headerRowBorderDxfId="130" tableBorderDxfId="128" totalsRowBorderDxfId="127">
  <tableColumns count="9">
    <tableColumn id="6" xr3:uid="{0BCEA606-A098-428C-994C-7B9CB3EBBAB4}" name="Description" dataDxfId="126"/>
    <tableColumn id="1" xr3:uid="{FCA9C623-671C-4688-B3BF-BDB56B8992C6}" name="Axle Code" dataDxfId="125"/>
    <tableColumn id="4" xr3:uid="{D64C797D-1FE7-4232-A455-1F7744B56337}" name="Tyre Size" dataDxfId="124"/>
    <tableColumn id="9" xr3:uid="{6DE56D0D-2C2D-4936-BBE1-9574797B8C7F}" name="Description (short)" dataDxfId="123">
      <calculatedColumnFormula>IF(Axle_Data[[#This Row],[Tyre Size]]="n/a",Axle_Data[[#This Row],[Axle Code]],CONCATENATE(Axle_Data[[#This Row],[Axle Code]],": ",Axle_Data[[#This Row],[Tyre Size]]))</calculatedColumnFormula>
    </tableColumn>
    <tableColumn id="2" xr3:uid="{6D39E999-77E4-4C34-962F-CD7729E30CFC}" name="Mass Scheme" dataDxfId="122"/>
    <tableColumn id="3" xr3:uid="{D6D8D332-A96A-4422-A39B-36145885F2DE}" name="Standard Axle Mass (t)" dataDxfId="121"/>
    <tableColumn id="7" xr3:uid="{DD008963-2DB3-4DB3-B7B0-931406DB9F0B}" name="MDL Maximum Mass (t)" dataDxfId="120"/>
    <tableColumn id="5" xr3:uid="{3FA827DD-215D-4C05-A170-C8AF6B717973}" name="Road Friendly Suspension (RFS) Factor" dataDxfId="119"/>
    <tableColumn id="8" xr3:uid="{D84AE5CC-4742-40FB-966B-E926C85408A0}" name="RFS Factor Note" dataDxfId="11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6556B92-8E47-40E9-9DDC-0DF0E700B387}" name="Mass_Data" displayName="Mass_Data" ref="C3:AL226" totalsRowShown="0" headerRowDxfId="117" dataDxfId="116">
  <autoFilter ref="C3:AL226" xr:uid="{E6556B92-8E47-40E9-9DDC-0DF0E700B387}"/>
  <tableColumns count="36">
    <tableColumn id="1" xr3:uid="{C3D026D6-0FE3-4A24-B9AC-4C3E5AFC2D0E}" name="Unique ID" dataDxfId="115">
      <calculatedColumnFormula>IF(G4="n/a",CONCATENATE(E4," - ", D4," (",F4,")"),CONCATENATE(E4," - ", D4," (",F4,")",": ",G4))</calculatedColumnFormula>
    </tableColumn>
    <tableColumn id="16" xr3:uid="{A798B18A-834E-45FB-8A7A-936AF7AD38A0}" name="Description" dataDxfId="114"/>
    <tableColumn id="12" xr3:uid="{B3608CFE-6357-4191-8424-F13EC5C647C1}" name="Fleet" dataDxfId="113"/>
    <tableColumn id="2" xr3:uid="{E1C8C3A2-6A55-44C1-9166-FDB9E648D0D7}" name="Mass Scheme" dataDxfId="112"/>
    <tableColumn id="13" xr3:uid="{8182D002-DDEF-44C9-8153-4E0C4D25A0E3}" name="PBS Level" dataDxfId="111"/>
    <tableColumn id="6" xr3:uid="{7CC53470-7646-4E6B-A6E0-D4805819789D}" name="Configuration Code" dataDxfId="110"/>
    <tableColumn id="11" xr3:uid="{94E93943-C4FC-4C8C-9CF0-1C5021A06558}" name="GCM (t)" dataDxfId="109"/>
    <tableColumn id="15" xr3:uid="{4DE1AF2D-5C65-4421-8D96-7F8C2EB1731C}" name="Payload (t)" dataDxfId="108"/>
    <tableColumn id="18" xr3:uid="{20AA3F27-BFC3-4EAE-9431-AF48E33DAE4D}" name="Tare" dataDxfId="107">
      <calculatedColumnFormula>Mass_Data[[#This Row],[GCM (t)]]-Mass_Data[[#This Row],[Payload (t)]]</calculatedColumnFormula>
    </tableColumn>
    <tableColumn id="3" xr3:uid="{8A7BBFA5-1730-46AC-89A4-D50254BE3217}" name="axle group 1" dataDxfId="106"/>
    <tableColumn id="4" xr3:uid="{EA8DCB03-6C47-4CDC-B0A0-7C43FA0EB079}" name="axle group 2" dataDxfId="105"/>
    <tableColumn id="5" xr3:uid="{9D9B3D40-01B3-4B63-813E-A7380E304CAF}" name="axle group 3" dataDxfId="104"/>
    <tableColumn id="7" xr3:uid="{C4D5C941-9854-4ACE-9E75-6218271AA536}" name="axle group 4" dataDxfId="103"/>
    <tableColumn id="8" xr3:uid="{D45A3F7C-9463-499F-ADB1-FE90EF4DC6AC}" name="axle group 5" dataDxfId="102"/>
    <tableColumn id="9" xr3:uid="{0B885973-0AF8-4F2D-A236-8488E2B5AEB1}" name="axle group 6" dataDxfId="101"/>
    <tableColumn id="10" xr3:uid="{BBB4081B-9F0D-49AD-83B5-9CED6CE958E6}" name="axle group 7" dataDxfId="100"/>
    <tableColumn id="14" xr3:uid="{9F477411-311A-4C75-9CF8-F06FFF864CE2}" name="MDL axle group 1 mass" dataDxfId="99">
      <calculatedColumnFormula array="1">_xlfn.XLOOKUP(Mass_Data[[#This Row],[axle group 1]]&amp;Mass_Data[[#This Row],[Mass Scheme]],Axle_Data[Axle Code]&amp;Axle_Data[Mass Scheme],Axle_Data[MDL Maximum Mass (t)],"",0)</calculatedColumnFormula>
    </tableColumn>
    <tableColumn id="17" xr3:uid="{86F2B61F-ACAF-41C3-8153-31979C262E74}" name="MDL axle group 2 mass" dataDxfId="98">
      <calculatedColumnFormula array="1">_xlfn.XLOOKUP(Mass_Data[[#This Row],[axle group 2]]&amp;Mass_Data[[#This Row],[Mass Scheme]],Axle_Data[Axle Code]&amp;Axle_Data[Mass Scheme],Axle_Data[MDL Maximum Mass (t)],"",0)</calculatedColumnFormula>
    </tableColumn>
    <tableColumn id="19" xr3:uid="{5CDFD1F5-BE23-4B0E-B3BC-2BFF85CB97DB}" name="MDL axle group 3 mass" dataDxfId="97">
      <calculatedColumnFormula array="1">_xlfn.XLOOKUP(Mass_Data[[#This Row],[axle group 3]]&amp;Mass_Data[[#This Row],[Mass Scheme]],Axle_Data[Axle Code]&amp;Axle_Data[Mass Scheme],Axle_Data[MDL Maximum Mass (t)],"",0)</calculatedColumnFormula>
    </tableColumn>
    <tableColumn id="20" xr3:uid="{E93D04DE-D1B2-4924-B535-CF6B8C5F033E}" name="MDL axle group 4 mass" dataDxfId="96">
      <calculatedColumnFormula array="1">_xlfn.XLOOKUP(Mass_Data[[#This Row],[axle group 4]]&amp;Mass_Data[[#This Row],[Mass Scheme]],Axle_Data[Axle Code]&amp;Axle_Data[Mass Scheme],Axle_Data[MDL Maximum Mass (t)],"",0)</calculatedColumnFormula>
    </tableColumn>
    <tableColumn id="21" xr3:uid="{E05015AD-2D55-45FC-B724-40BCF03E21E5}" name="MDL axle group 5 mass" dataDxfId="95">
      <calculatedColumnFormula array="1">_xlfn.XLOOKUP(Mass_Data[[#This Row],[axle group 5]]&amp;Mass_Data[[#This Row],[Mass Scheme]],Axle_Data[Axle Code]&amp;Axle_Data[Mass Scheme],Axle_Data[MDL Maximum Mass (t)],"",0)</calculatedColumnFormula>
    </tableColumn>
    <tableColumn id="22" xr3:uid="{E12BEAE0-728D-49C7-8176-480C8580C7FA}" name="MDL axle group 6 mass" dataDxfId="94">
      <calculatedColumnFormula array="1">_xlfn.XLOOKUP(Mass_Data[[#This Row],[axle group 6]]&amp;Mass_Data[[#This Row],[Mass Scheme]],Axle_Data[Axle Code]&amp;Axle_Data[Mass Scheme],Axle_Data[MDL Maximum Mass (t)],"",0)</calculatedColumnFormula>
    </tableColumn>
    <tableColumn id="23" xr3:uid="{5686C10D-B2D2-4322-A515-AAEFC8775E9C}" name="MDL axle group 7 mass" dataDxfId="93">
      <calculatedColumnFormula array="1">_xlfn.XLOOKUP(Mass_Data[[#This Row],[axle group 7]]&amp;Mass_Data[[#This Row],[Mass Scheme]],Axle_Data[Axle Code]&amp;Axle_Data[Mass Scheme],Axle_Data[MDL Maximum Mass (t)],"",0)</calculatedColumnFormula>
    </tableColumn>
    <tableColumn id="24" xr3:uid="{7E1CC742-341E-40D9-BD2C-998097B2BE9E}" name="Total (1)" dataDxfId="92">
      <calculatedColumnFormula>SUM(Mass_Data[[#This Row],[MDL axle group 1 mass]:[MDL axle group 7 mass]])</calculatedColumnFormula>
    </tableColumn>
    <tableColumn id="25" xr3:uid="{28EE7EB5-27C6-4394-8611-35AC653FCA2E}" name="Difference between MDL and GCM" dataDxfId="91">
      <calculatedColumnFormula>Mass_Data[[#This Row],[Total (1)]]-Mass_Data[[#This Row],[GCM (t)]]</calculatedColumnFormula>
    </tableColumn>
    <tableColumn id="35" xr3:uid="{0C4D0285-28B0-4AA9-8017-5A0770168DB2}" name="Check (1)" dataDxfId="90">
      <calculatedColumnFormula>IF(Mass_Data[[#This Row],[Difference between MDL and GCM]]=0,"YES","NO")</calculatedColumnFormula>
    </tableColumn>
    <tableColumn id="26" xr3:uid="{DEB9A7A1-CA49-4696-BED8-A2D4DE3817E0}" name="Corrected axle group 1 mass" dataDxfId="89">
      <calculatedColumnFormula>IFERROR(IF(Mass_Data[[#This Row],[Check (1)]]="YES",Mass_Data[[#This Row],[MDL axle group 1 mass]],Mass_Data[[#This Row],[MDL axle group 1 mass]]-(Mass_Data[[#This Row],[Difference between MDL and GCM]]*(Mass_Data[[#This Row],[MDL axle group 1 mass]]/Mass_Data[[#This Row],[Total (1)]]))),"")</calculatedColumnFormula>
    </tableColumn>
    <tableColumn id="27" xr3:uid="{728B10E7-D312-43E6-8CF0-273E6B7AEA29}" name="Corrected axle group 2 mass" dataDxfId="88">
      <calculatedColumnFormula>IFERROR(IF(Mass_Data[[#This Row],[Check (1)]]="YES",Mass_Data[[#This Row],[MDL axle group 2 mass]],Mass_Data[[#This Row],[MDL axle group 2 mass]]-(Mass_Data[[#This Row],[Difference between MDL and GCM]]*(Mass_Data[[#This Row],[MDL axle group 2 mass]]/Mass_Data[[#This Row],[Total (1)]]))),"")</calculatedColumnFormula>
    </tableColumn>
    <tableColumn id="28" xr3:uid="{724918C8-777E-4BC2-A92E-DE146DE2B5F8}" name="Corrected axle group 3 mass" dataDxfId="87">
      <calculatedColumnFormula>IFERROR(IF(Mass_Data[[#This Row],[Check (1)]]="YES",Mass_Data[[#This Row],[MDL axle group 3 mass]],Mass_Data[[#This Row],[MDL axle group 3 mass]]-(Mass_Data[[#This Row],[Difference between MDL and GCM]]*(Mass_Data[[#This Row],[MDL axle group 3 mass]]/Mass_Data[[#This Row],[Total (1)]]))),"")</calculatedColumnFormula>
    </tableColumn>
    <tableColumn id="29" xr3:uid="{8F4CE215-CA10-42FA-BB29-22719C80CBC2}" name="Corrected axle group 4 mass" dataDxfId="86">
      <calculatedColumnFormula>IFERROR(IF(Mass_Data[[#This Row],[Check (1)]]="YES",Mass_Data[[#This Row],[MDL axle group 4 mass]],Mass_Data[[#This Row],[MDL axle group 4 mass]]-(Mass_Data[[#This Row],[Difference between MDL and GCM]]*(Mass_Data[[#This Row],[MDL axle group 4 mass]]/Mass_Data[[#This Row],[Total (1)]]))),"")</calculatedColumnFormula>
    </tableColumn>
    <tableColumn id="30" xr3:uid="{A368B56D-8FDC-4F8A-850E-9AB17ED9BF6F}" name="Corrected axle group 5 mass" dataDxfId="85">
      <calculatedColumnFormula>IFERROR(IF(Mass_Data[[#This Row],[Check (1)]]="YES",Mass_Data[[#This Row],[MDL axle group 5 mass]],Mass_Data[[#This Row],[MDL axle group 5 mass]]-(Mass_Data[[#This Row],[Difference between MDL and GCM]]*(Mass_Data[[#This Row],[MDL axle group 5 mass]]/Mass_Data[[#This Row],[Total (1)]]))),"")</calculatedColumnFormula>
    </tableColumn>
    <tableColumn id="31" xr3:uid="{A3592EFF-89BC-42E0-ACC6-50A5C4EE75A6}" name="Corrected axle group 6 mass" dataDxfId="84">
      <calculatedColumnFormula>IFERROR(IF(Mass_Data[[#This Row],[Check (1)]]="YES",Mass_Data[[#This Row],[MDL axle group 6 mass]],Mass_Data[[#This Row],[MDL axle group 6 mass]]-(Mass_Data[[#This Row],[Difference between MDL and GCM]]*(Mass_Data[[#This Row],[MDL axle group 6 mass]]/Mass_Data[[#This Row],[Total (1)]]))),"")</calculatedColumnFormula>
    </tableColumn>
    <tableColumn id="32" xr3:uid="{72F67D6A-62D4-4EE6-98FF-D6258FEDDFF6}" name="Corrected axle group 7 mass" dataDxfId="83">
      <calculatedColumnFormula>IFERROR(IF(Mass_Data[[#This Row],[Check (1)]]="YES",Mass_Data[[#This Row],[MDL axle group 7 mass]],Mass_Data[[#This Row],[MDL axle group 7 mass]]-(Mass_Data[[#This Row],[Difference between MDL and GCM]]*(Mass_Data[[#This Row],[MDL axle group 7 mass]]/Mass_Data[[#This Row],[Total (1)]]))),"")</calculatedColumnFormula>
    </tableColumn>
    <tableColumn id="33" xr3:uid="{7250A9E3-72D5-42FA-8D3C-4E4DBFA37EA1}" name="Total (2)" dataDxfId="82">
      <calculatedColumnFormula>SUM(Mass_Data[[#This Row],[Corrected axle group 1 mass]:[Corrected axle group 7 mass]])</calculatedColumnFormula>
    </tableColumn>
    <tableColumn id="34" xr3:uid="{5D1D4F5F-5255-4C06-82F7-3DD0B790FA8F}" name="Difference between MDL and corrected axle masses" dataDxfId="81">
      <calculatedColumnFormula>Mass_Data[[#This Row],[Total (2)]]-Mass_Data[[#This Row],[GCM (t)]]</calculatedColumnFormula>
    </tableColumn>
    <tableColumn id="36" xr3:uid="{E8C16ACE-993C-45AC-8C90-3E30BAA3A9CA}" name="Check (2)" dataDxfId="80">
      <calculatedColumnFormula>IF(Mass_Data[[#This Row],[Difference between MDL and corrected axle masses]]=0,"YES","NO")</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nhvr.gov.au/files/201810-0923-pbs-vehicle-configurations.pdf" TargetMode="External"/><Relationship Id="rId7" Type="http://schemas.openxmlformats.org/officeDocument/2006/relationships/drawing" Target="../drawings/drawing1.xml"/><Relationship Id="rId2" Type="http://schemas.openxmlformats.org/officeDocument/2006/relationships/hyperlink" Target="https://www.nhvr.gov.au/files/201707-0577-common-heavy-freight-vehicles-combinations.pdf" TargetMode="External"/><Relationship Id="rId1" Type="http://schemas.openxmlformats.org/officeDocument/2006/relationships/hyperlink" Target="https://www.nhvr.gov.au/files/201810-0923-pbs-vehicle-configurations.pdf" TargetMode="External"/><Relationship Id="rId6" Type="http://schemas.openxmlformats.org/officeDocument/2006/relationships/printerSettings" Target="../printerSettings/printerSettings1.bin"/><Relationship Id="rId5" Type="http://schemas.openxmlformats.org/officeDocument/2006/relationships/hyperlink" Target="https://www.nhvr.gov.au/about-us/consultation/PavementCalculator" TargetMode="External"/><Relationship Id="rId4" Type="http://schemas.openxmlformats.org/officeDocument/2006/relationships/hyperlink" Target="https://www.nhvr.gov.au/files/201707-0577-common-heavy-freight-vehicles-combinations.pdf"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bs.gov.au/statistics/economy/price-indexes-and-inflation/consumer-price-index-australia/latest-releas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EB20-4332-45C6-AE55-A51697FBDF3D}">
  <sheetPr codeName="Sheet1">
    <tabColor theme="3"/>
    <pageSetUpPr fitToPage="1"/>
  </sheetPr>
  <dimension ref="A1:AZ141"/>
  <sheetViews>
    <sheetView showGridLines="0" showZeros="0" tabSelected="1" zoomScale="40" zoomScaleNormal="40" workbookViewId="0">
      <selection activeCell="D13" sqref="D13:E17"/>
    </sheetView>
  </sheetViews>
  <sheetFormatPr defaultColWidth="16" defaultRowHeight="19.5" customHeight="1" x14ac:dyDescent="0.35"/>
  <cols>
    <col min="2" max="3" width="4.7265625" customWidth="1"/>
    <col min="5" max="5" width="16" customWidth="1"/>
    <col min="16" max="16" width="20.7265625" bestFit="1" customWidth="1"/>
    <col min="17" max="20" width="4.7265625" customWidth="1"/>
    <col min="33" max="33" width="20.7265625" bestFit="1" customWidth="1"/>
    <col min="34" max="35" width="4.7265625" customWidth="1"/>
    <col min="36" max="36" width="3.26953125" customWidth="1"/>
    <col min="40" max="40" width="16" customWidth="1"/>
    <col min="43" max="43" width="16.1796875" customWidth="1"/>
    <col min="44" max="44" width="3.90625" customWidth="1"/>
    <col min="45" max="45" width="17.453125" customWidth="1"/>
    <col min="46" max="46" width="7.08984375" customWidth="1"/>
    <col min="48" max="48" width="50.453125" customWidth="1"/>
    <col min="49" max="49" width="60.54296875" customWidth="1"/>
    <col min="687" max="687" width="16" customWidth="1"/>
  </cols>
  <sheetData>
    <row r="1" spans="1:46" ht="19.5" customHeight="1" x14ac:dyDescent="0.35">
      <c r="A1" s="291" t="s">
        <v>421</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153"/>
      <c r="AE1" s="153"/>
      <c r="AF1" s="153"/>
      <c r="AG1" s="153"/>
      <c r="AH1" s="153"/>
      <c r="AI1" s="153"/>
      <c r="AJ1" s="407" t="s">
        <v>366</v>
      </c>
      <c r="AK1" s="407"/>
      <c r="AL1" s="407"/>
      <c r="AM1" s="407"/>
      <c r="AN1" s="407"/>
      <c r="AO1" s="407"/>
      <c r="AP1" s="407"/>
      <c r="AQ1" s="407"/>
      <c r="AR1" s="407"/>
      <c r="AS1" s="246"/>
      <c r="AT1" s="246"/>
    </row>
    <row r="2" spans="1:46" ht="19.5" customHeight="1" thickBot="1" x14ac:dyDescent="0.4">
      <c r="A2" s="291"/>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153"/>
      <c r="AE2" s="153"/>
      <c r="AF2" s="153"/>
      <c r="AG2" s="153"/>
      <c r="AH2" s="153"/>
      <c r="AI2" s="153"/>
      <c r="AJ2" s="407"/>
      <c r="AK2" s="407"/>
      <c r="AL2" s="407"/>
      <c r="AM2" s="407"/>
      <c r="AN2" s="407"/>
      <c r="AO2" s="407"/>
      <c r="AP2" s="407"/>
      <c r="AQ2" s="407"/>
      <c r="AR2" s="407"/>
      <c r="AS2" s="246"/>
      <c r="AT2" s="246"/>
    </row>
    <row r="3" spans="1:46" ht="19.5" customHeight="1" thickTop="1" x14ac:dyDescent="0.3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153"/>
      <c r="AE3" s="293" t="s">
        <v>385</v>
      </c>
      <c r="AF3" s="294"/>
      <c r="AG3" s="295"/>
      <c r="AH3" s="153"/>
      <c r="AI3" s="153"/>
      <c r="AJ3" s="407"/>
      <c r="AK3" s="407"/>
      <c r="AL3" s="407"/>
      <c r="AM3" s="407"/>
      <c r="AN3" s="407"/>
      <c r="AO3" s="407"/>
      <c r="AP3" s="407"/>
      <c r="AQ3" s="407"/>
      <c r="AR3" s="407"/>
      <c r="AS3" s="246"/>
      <c r="AT3" s="246"/>
    </row>
    <row r="4" spans="1:46" ht="19.5" customHeight="1" x14ac:dyDescent="0.35">
      <c r="A4" s="291"/>
      <c r="B4" s="291"/>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153"/>
      <c r="AE4" s="296"/>
      <c r="AF4" s="297"/>
      <c r="AG4" s="298"/>
      <c r="AH4" s="153"/>
      <c r="AI4" s="153"/>
      <c r="AJ4" s="407"/>
      <c r="AK4" s="407"/>
      <c r="AL4" s="407"/>
      <c r="AM4" s="407"/>
      <c r="AN4" s="407"/>
      <c r="AO4" s="407"/>
      <c r="AP4" s="407"/>
      <c r="AQ4" s="407"/>
      <c r="AR4" s="407"/>
      <c r="AS4" s="246"/>
      <c r="AT4" s="246"/>
    </row>
    <row r="5" spans="1:46" ht="19.5" customHeight="1" thickBot="1" x14ac:dyDescent="0.4">
      <c r="A5" s="292" t="s">
        <v>425</v>
      </c>
      <c r="B5" s="292"/>
      <c r="C5" s="292"/>
      <c r="D5" s="292"/>
      <c r="E5" s="292"/>
      <c r="F5" s="292"/>
      <c r="G5" s="292"/>
      <c r="H5" s="292"/>
      <c r="I5" s="292"/>
      <c r="J5" s="292"/>
      <c r="K5" s="292"/>
      <c r="L5" s="292"/>
      <c r="M5" s="292"/>
      <c r="N5" s="292"/>
      <c r="O5" s="292"/>
      <c r="P5" s="290"/>
      <c r="Q5" s="290"/>
      <c r="R5" s="290"/>
      <c r="S5" s="290"/>
      <c r="T5" s="290"/>
      <c r="U5" s="290"/>
      <c r="V5" s="290"/>
      <c r="W5" s="290"/>
      <c r="X5" s="290"/>
      <c r="Y5" s="290"/>
      <c r="Z5" s="290"/>
      <c r="AA5" s="290"/>
      <c r="AB5" s="290"/>
      <c r="AC5" s="290"/>
      <c r="AD5" s="153"/>
      <c r="AE5" s="299"/>
      <c r="AF5" s="300"/>
      <c r="AG5" s="301"/>
      <c r="AH5" s="153"/>
      <c r="AI5" s="153"/>
      <c r="AJ5" s="407"/>
      <c r="AK5" s="407"/>
      <c r="AL5" s="407"/>
      <c r="AM5" s="407"/>
      <c r="AN5" s="407"/>
      <c r="AO5" s="407"/>
      <c r="AP5" s="407"/>
      <c r="AQ5" s="407"/>
      <c r="AR5" s="407"/>
      <c r="AS5" s="246"/>
      <c r="AT5" s="246"/>
    </row>
    <row r="6" spans="1:46" ht="19.5" customHeight="1" thickTop="1" x14ac:dyDescent="0.35">
      <c r="A6" s="292"/>
      <c r="B6" s="292"/>
      <c r="C6" s="292"/>
      <c r="D6" s="292"/>
      <c r="E6" s="292"/>
      <c r="F6" s="292"/>
      <c r="G6" s="292"/>
      <c r="H6" s="292"/>
      <c r="I6" s="292"/>
      <c r="J6" s="292"/>
      <c r="K6" s="292"/>
      <c r="L6" s="292"/>
      <c r="M6" s="292"/>
      <c r="N6" s="292"/>
      <c r="O6" s="292"/>
      <c r="P6" s="290"/>
      <c r="Q6" s="290"/>
      <c r="R6" s="290"/>
      <c r="S6" s="290"/>
      <c r="T6" s="290"/>
      <c r="U6" s="290"/>
      <c r="V6" s="290"/>
      <c r="W6" s="290"/>
      <c r="X6" s="290"/>
      <c r="Y6" s="290"/>
      <c r="Z6" s="290"/>
      <c r="AA6" s="290"/>
      <c r="AB6" s="290"/>
      <c r="AC6" s="290"/>
      <c r="AD6" s="153"/>
      <c r="AE6" s="153"/>
      <c r="AF6" s="153"/>
      <c r="AG6" s="153"/>
      <c r="AH6" s="153"/>
      <c r="AI6" s="153"/>
      <c r="AJ6" s="407"/>
      <c r="AK6" s="407"/>
      <c r="AL6" s="407"/>
      <c r="AM6" s="407"/>
      <c r="AN6" s="407"/>
      <c r="AO6" s="407"/>
      <c r="AP6" s="407"/>
      <c r="AQ6" s="407"/>
      <c r="AR6" s="407"/>
      <c r="AS6" s="246"/>
      <c r="AT6" s="246"/>
    </row>
    <row r="7" spans="1:46" ht="19.5" customHeight="1" x14ac:dyDescent="0.35">
      <c r="F7" s="2"/>
      <c r="G7" s="2"/>
      <c r="H7" s="2"/>
      <c r="I7" s="2"/>
      <c r="J7" s="2"/>
      <c r="K7" s="2"/>
      <c r="L7" s="2"/>
      <c r="M7" s="2"/>
      <c r="N7" s="2"/>
      <c r="O7" s="2"/>
      <c r="P7" s="2"/>
      <c r="Q7" s="2"/>
      <c r="R7" s="2"/>
      <c r="S7" s="2"/>
      <c r="T7" s="2"/>
      <c r="U7" s="2"/>
      <c r="V7" s="2"/>
      <c r="W7" s="2"/>
      <c r="X7" s="2"/>
      <c r="Y7" s="2"/>
      <c r="Z7" s="2"/>
      <c r="AA7" s="2"/>
    </row>
    <row r="8" spans="1:46" ht="19.5" customHeight="1" x14ac:dyDescent="0.35">
      <c r="A8" s="303" t="s">
        <v>234</v>
      </c>
      <c r="B8" s="319"/>
      <c r="C8" s="343" t="s">
        <v>144</v>
      </c>
      <c r="D8" s="343"/>
      <c r="E8" s="343"/>
      <c r="F8" s="343"/>
      <c r="G8" s="343"/>
      <c r="H8" s="343"/>
      <c r="I8" s="343"/>
      <c r="J8" s="343"/>
      <c r="K8" s="343"/>
      <c r="L8" s="343"/>
      <c r="M8" s="343"/>
      <c r="N8" s="343"/>
      <c r="O8" s="343"/>
      <c r="P8" s="343"/>
      <c r="Q8" s="343"/>
      <c r="R8" s="2"/>
      <c r="S8" s="345"/>
      <c r="T8" s="343" t="s">
        <v>145</v>
      </c>
      <c r="U8" s="343"/>
      <c r="V8" s="343"/>
      <c r="W8" s="343"/>
      <c r="X8" s="343"/>
      <c r="Y8" s="343"/>
      <c r="Z8" s="343"/>
      <c r="AA8" s="343"/>
      <c r="AB8" s="343"/>
      <c r="AC8" s="343"/>
      <c r="AD8" s="343"/>
      <c r="AE8" s="343"/>
      <c r="AF8" s="343"/>
      <c r="AG8" s="343"/>
      <c r="AH8" s="343"/>
      <c r="AJ8" s="343" t="s">
        <v>252</v>
      </c>
      <c r="AK8" s="343"/>
      <c r="AL8" s="343"/>
      <c r="AM8" s="343"/>
      <c r="AN8" s="343"/>
      <c r="AO8" s="343"/>
      <c r="AP8" s="343"/>
      <c r="AQ8" s="343"/>
      <c r="AR8" s="343"/>
      <c r="AS8" s="245"/>
      <c r="AT8" s="245"/>
    </row>
    <row r="9" spans="1:46" ht="19.5" customHeight="1" x14ac:dyDescent="0.35">
      <c r="A9" s="303"/>
      <c r="B9" s="319"/>
      <c r="C9" s="343"/>
      <c r="D9" s="343"/>
      <c r="E9" s="343"/>
      <c r="F9" s="343"/>
      <c r="G9" s="343"/>
      <c r="H9" s="343"/>
      <c r="I9" s="343"/>
      <c r="J9" s="343"/>
      <c r="K9" s="343"/>
      <c r="L9" s="343"/>
      <c r="M9" s="343"/>
      <c r="N9" s="343"/>
      <c r="O9" s="343"/>
      <c r="P9" s="343"/>
      <c r="Q9" s="343"/>
      <c r="R9" s="2"/>
      <c r="S9" s="345"/>
      <c r="T9" s="343"/>
      <c r="U9" s="343"/>
      <c r="V9" s="343"/>
      <c r="W9" s="343"/>
      <c r="X9" s="343"/>
      <c r="Y9" s="343"/>
      <c r="Z9" s="343"/>
      <c r="AA9" s="343"/>
      <c r="AB9" s="343"/>
      <c r="AC9" s="343"/>
      <c r="AD9" s="343"/>
      <c r="AE9" s="343"/>
      <c r="AF9" s="343"/>
      <c r="AG9" s="343"/>
      <c r="AH9" s="343"/>
      <c r="AJ9" s="343"/>
      <c r="AK9" s="343"/>
      <c r="AL9" s="343"/>
      <c r="AM9" s="343"/>
      <c r="AN9" s="343"/>
      <c r="AO9" s="343"/>
      <c r="AP9" s="343"/>
      <c r="AQ9" s="343"/>
      <c r="AR9" s="343"/>
      <c r="AS9" s="245"/>
      <c r="AT9" s="245"/>
    </row>
    <row r="10" spans="1:46" ht="19.5" customHeight="1" x14ac:dyDescent="0.35">
      <c r="A10" s="303"/>
      <c r="B10" s="15"/>
      <c r="C10" s="15"/>
      <c r="D10" s="15"/>
      <c r="E10" s="15"/>
      <c r="F10" s="15"/>
      <c r="G10" s="15"/>
      <c r="H10" s="15"/>
      <c r="I10" s="15"/>
      <c r="J10" s="15"/>
      <c r="K10" s="15"/>
      <c r="L10" s="15"/>
      <c r="M10" s="15"/>
      <c r="N10" s="15"/>
      <c r="O10" s="15"/>
      <c r="P10" s="15"/>
      <c r="Q10" s="15"/>
      <c r="R10" s="2"/>
      <c r="S10" s="2"/>
      <c r="T10" s="4"/>
      <c r="U10" s="15"/>
      <c r="V10" s="15"/>
      <c r="W10" s="15"/>
      <c r="X10" s="15"/>
      <c r="Y10" s="15"/>
      <c r="Z10" s="15"/>
      <c r="AA10" s="15"/>
      <c r="AB10" s="15"/>
      <c r="AC10" s="15"/>
      <c r="AD10" s="15"/>
      <c r="AE10" s="15"/>
      <c r="AF10" s="15"/>
      <c r="AG10" s="15"/>
      <c r="AH10" s="15"/>
      <c r="AJ10" s="37"/>
      <c r="AK10" s="222"/>
      <c r="AL10" s="222"/>
      <c r="AM10" s="222"/>
      <c r="AN10" s="222"/>
      <c r="AO10" s="222"/>
      <c r="AP10" s="37"/>
      <c r="AQ10" s="37"/>
      <c r="AR10" s="37"/>
    </row>
    <row r="11" spans="1:46" ht="19.5" customHeight="1" thickBot="1" x14ac:dyDescent="0.4">
      <c r="A11" s="303"/>
      <c r="C11" s="315" t="s">
        <v>369</v>
      </c>
      <c r="D11" s="315"/>
      <c r="E11" s="315"/>
      <c r="F11" s="315"/>
      <c r="G11" s="315"/>
      <c r="O11" s="15"/>
      <c r="P11" s="15"/>
      <c r="Q11" s="15"/>
      <c r="R11" s="2"/>
      <c r="S11" s="2"/>
      <c r="T11" s="315" t="s">
        <v>370</v>
      </c>
      <c r="U11" s="315"/>
      <c r="V11" s="315"/>
      <c r="W11" s="315"/>
      <c r="X11" s="315"/>
      <c r="Y11" s="15"/>
      <c r="Z11" s="15"/>
      <c r="AA11" s="15"/>
      <c r="AB11" s="15"/>
      <c r="AC11" s="15"/>
      <c r="AD11" s="15"/>
      <c r="AE11" s="15"/>
      <c r="AF11" s="15"/>
      <c r="AG11" s="15"/>
      <c r="AH11" s="15"/>
      <c r="AJ11" s="37"/>
      <c r="AK11" s="37"/>
      <c r="AL11" s="37"/>
      <c r="AM11" s="37"/>
      <c r="AN11" s="37"/>
      <c r="AO11" s="37"/>
      <c r="AP11" s="37"/>
      <c r="AQ11" s="37"/>
      <c r="AR11" s="37"/>
    </row>
    <row r="12" spans="1:46" ht="19.5" customHeight="1" x14ac:dyDescent="0.35">
      <c r="A12" s="303"/>
      <c r="B12" s="24"/>
      <c r="C12" s="86"/>
      <c r="D12" s="87"/>
      <c r="E12" s="88"/>
      <c r="F12" s="89" t="s">
        <v>304</v>
      </c>
      <c r="G12" s="90"/>
      <c r="H12" s="90"/>
      <c r="I12" s="89" t="s">
        <v>305</v>
      </c>
      <c r="J12" s="90"/>
      <c r="K12" s="90"/>
      <c r="L12" s="89" t="s">
        <v>306</v>
      </c>
      <c r="M12" s="90"/>
      <c r="N12" s="90"/>
      <c r="O12" s="89" t="s">
        <v>307</v>
      </c>
      <c r="P12" s="90"/>
      <c r="Q12" s="100"/>
      <c r="R12" s="2"/>
      <c r="S12" s="2"/>
      <c r="T12" s="142"/>
      <c r="U12" s="90"/>
      <c r="V12" s="90"/>
      <c r="W12" s="89" t="s">
        <v>304</v>
      </c>
      <c r="X12" s="90"/>
      <c r="Y12" s="90"/>
      <c r="Z12" s="89" t="s">
        <v>305</v>
      </c>
      <c r="AA12" s="90"/>
      <c r="AB12" s="90"/>
      <c r="AC12" s="89" t="s">
        <v>306</v>
      </c>
      <c r="AD12" s="90"/>
      <c r="AE12" s="90"/>
      <c r="AF12" s="89" t="s">
        <v>307</v>
      </c>
      <c r="AG12" s="90"/>
      <c r="AH12" s="100"/>
      <c r="AJ12" s="37"/>
      <c r="AK12" s="373" t="s">
        <v>144</v>
      </c>
      <c r="AL12" s="373"/>
      <c r="AM12" s="373"/>
      <c r="AN12" s="37"/>
      <c r="AO12" s="373" t="s">
        <v>145</v>
      </c>
      <c r="AP12" s="373"/>
      <c r="AQ12" s="373"/>
      <c r="AR12" s="37"/>
    </row>
    <row r="13" spans="1:46" ht="19.5" customHeight="1" thickBot="1" x14ac:dyDescent="0.4">
      <c r="A13" s="303"/>
      <c r="B13" s="24"/>
      <c r="C13" s="91"/>
      <c r="D13" s="333" t="str">
        <f>IF(F18="Nil.","ERROR: Vehicle does not exist in the NHVR common configuration charts. To select a vehicle, please use the drop down menus from left to right (Step I to IV). Refer to the NHVR common configuration charts (links below) for vehicle selection options.","Please select vehicle using the drop down menus in order from left to right (Step I to IV). Links below for available vehicles.")</f>
        <v>Please select vehicle using the drop down menus in order from left to right (Step I to IV). Links below for available vehicles.</v>
      </c>
      <c r="E13" s="333"/>
      <c r="F13" s="326" t="s">
        <v>151</v>
      </c>
      <c r="G13" s="327"/>
      <c r="H13" s="17"/>
      <c r="I13" s="326" t="s">
        <v>2</v>
      </c>
      <c r="J13" s="336"/>
      <c r="K13" s="17"/>
      <c r="L13" s="326" t="s">
        <v>150</v>
      </c>
      <c r="M13" s="336"/>
      <c r="N13" s="17"/>
      <c r="O13" s="326" t="s">
        <v>230</v>
      </c>
      <c r="P13" s="327"/>
      <c r="Q13" s="101"/>
      <c r="R13" s="18"/>
      <c r="S13" s="18"/>
      <c r="T13" s="143"/>
      <c r="U13" s="333" t="str">
        <f>IF(W18="Nil.","ERROR: Vehicle does not exist in the NHVR common configuration charts. To select a vehicle, please use the drop down menus from left to right (Step I to IV). Refer to the NHVR common configuration charts (links below) for vehicle selection options.","Please select vehicle using the drop down menus in order from left to right (Step I to IV). Links below for available vehicles.")</f>
        <v>Please select vehicle using the drop down menus in order from left to right (Step I to IV). Links below for available vehicles.</v>
      </c>
      <c r="V13" s="333"/>
      <c r="W13" s="346" t="s">
        <v>151</v>
      </c>
      <c r="X13" s="373"/>
      <c r="Y13" s="17"/>
      <c r="Z13" s="346" t="s">
        <v>2</v>
      </c>
      <c r="AA13" s="347"/>
      <c r="AB13" s="17"/>
      <c r="AC13" s="346" t="s">
        <v>150</v>
      </c>
      <c r="AD13" s="347"/>
      <c r="AE13" s="17"/>
      <c r="AF13" s="346" t="s">
        <v>230</v>
      </c>
      <c r="AG13" s="373"/>
      <c r="AH13" s="101"/>
      <c r="AJ13" s="37"/>
      <c r="AK13" s="421" t="str">
        <f>IF(O14="n/a",CONCATENATE(F14," - ", I14," (",L14,")"),CONCATENATE(F14," - ", I14," (",L14,")",": ",O14))</f>
        <v>Conventional - 6-Axle Semitrailer (GML)</v>
      </c>
      <c r="AL13" s="421"/>
      <c r="AM13" s="421"/>
      <c r="AN13" s="232" t="str">
        <f>IF(OR(ISNUMBER(SEARCH("ERROR", D13)), ISNUMBER(SEARCH("ERROR", U13)), ISNUMBER(SEARCH("ERROR", D42)), ISNUMBER(SEARCH("ERROR", U42)), ISNUMBER(SEARCH("ERROR", AK45)), ISNUMBER(SEARCH("ERROR", AL45))), "Please resolve ERROR. Refer to the yellow boxes.", "")</f>
        <v/>
      </c>
      <c r="AO13" s="421" t="str">
        <f>IF(AF14="n/a",CONCATENATE(W14," - ", Z14," (",AC14,")"),CONCATENATE(W14," - ", Z14," (",AC14,")",": ",AF14))</f>
        <v>PBS - 3-axle prime mover A-double (3-3-3) (HML): 2</v>
      </c>
      <c r="AP13" s="421"/>
      <c r="AQ13" s="421"/>
      <c r="AR13" s="37"/>
    </row>
    <row r="14" spans="1:46" ht="19.5" customHeight="1" thickBot="1" x14ac:dyDescent="0.4">
      <c r="A14" s="303"/>
      <c r="B14" s="24"/>
      <c r="C14" s="91"/>
      <c r="D14" s="333"/>
      <c r="E14" s="333"/>
      <c r="F14" s="339" t="s">
        <v>220</v>
      </c>
      <c r="G14" s="340"/>
      <c r="H14" s="17"/>
      <c r="I14" s="339" t="s">
        <v>153</v>
      </c>
      <c r="J14" s="340"/>
      <c r="K14" s="17"/>
      <c r="L14" s="339" t="s">
        <v>18</v>
      </c>
      <c r="M14" s="340"/>
      <c r="N14" s="17"/>
      <c r="O14" s="339" t="s">
        <v>202</v>
      </c>
      <c r="P14" s="340"/>
      <c r="Q14" s="102"/>
      <c r="R14" s="18"/>
      <c r="S14" s="18"/>
      <c r="T14" s="143"/>
      <c r="U14" s="333"/>
      <c r="V14" s="333"/>
      <c r="W14" s="339" t="s">
        <v>147</v>
      </c>
      <c r="X14" s="340"/>
      <c r="Y14" s="17"/>
      <c r="Z14" s="339" t="s">
        <v>175</v>
      </c>
      <c r="AA14" s="340"/>
      <c r="AB14" s="17"/>
      <c r="AC14" s="339" t="s">
        <v>7</v>
      </c>
      <c r="AD14" s="340"/>
      <c r="AE14" s="17"/>
      <c r="AF14" s="339">
        <v>2</v>
      </c>
      <c r="AG14" s="340"/>
      <c r="AH14" s="102"/>
      <c r="AJ14" s="37"/>
      <c r="AK14" s="421"/>
      <c r="AL14" s="421"/>
      <c r="AM14" s="421"/>
      <c r="AN14" s="232"/>
      <c r="AO14" s="421"/>
      <c r="AP14" s="421"/>
      <c r="AQ14" s="421"/>
      <c r="AR14" s="37"/>
    </row>
    <row r="15" spans="1:46" ht="19.5" customHeight="1" x14ac:dyDescent="0.35">
      <c r="A15" s="303"/>
      <c r="B15" s="24"/>
      <c r="C15" s="91"/>
      <c r="D15" s="333"/>
      <c r="E15" s="333"/>
      <c r="F15" s="18"/>
      <c r="G15" s="18"/>
      <c r="H15" s="18"/>
      <c r="I15" s="18"/>
      <c r="J15" s="18"/>
      <c r="K15" s="18"/>
      <c r="L15" s="18"/>
      <c r="M15" s="19"/>
      <c r="N15" s="19"/>
      <c r="O15" s="85"/>
      <c r="P15" s="26"/>
      <c r="Q15" s="92"/>
      <c r="R15" s="18"/>
      <c r="T15" s="143"/>
      <c r="U15" s="333"/>
      <c r="V15" s="333"/>
      <c r="W15" s="18"/>
      <c r="X15" s="18"/>
      <c r="Y15" s="18"/>
      <c r="Z15" s="18"/>
      <c r="AA15" s="18"/>
      <c r="AB15" s="18"/>
      <c r="AC15" s="18"/>
      <c r="AD15" s="19"/>
      <c r="AE15" s="19"/>
      <c r="AF15" s="85"/>
      <c r="AG15" s="26"/>
      <c r="AH15" s="92"/>
      <c r="AJ15" s="37"/>
      <c r="AK15" s="394" t="str">
        <f>_xlfn.XLOOKUP(AK13,'Underlying mass data'!$C$4:$C$226,'Underlying mass data'!$H$4:$H$226,"",0)</f>
        <v>A123</v>
      </c>
      <c r="AL15" s="394"/>
      <c r="AM15" s="394"/>
      <c r="AN15" s="232"/>
      <c r="AO15" s="394" t="str">
        <f>_xlfn.XLOOKUP(AO13,'Underlying mass data'!$C$4:$C$226,'Underlying mass data'!$H$4:$H$226,"",0)</f>
        <v>A123T33</v>
      </c>
      <c r="AP15" s="394"/>
      <c r="AQ15" s="394"/>
      <c r="AR15" s="37"/>
    </row>
    <row r="16" spans="1:46" ht="19.5" customHeight="1" x14ac:dyDescent="0.35">
      <c r="A16" s="303"/>
      <c r="B16" s="24"/>
      <c r="C16" s="91"/>
      <c r="D16" s="333"/>
      <c r="E16" s="333"/>
      <c r="F16" s="320" t="s">
        <v>227</v>
      </c>
      <c r="G16" s="320" t="s">
        <v>49</v>
      </c>
      <c r="H16" s="316" t="s">
        <v>233</v>
      </c>
      <c r="I16" s="316"/>
      <c r="J16" s="18"/>
      <c r="K16" s="18"/>
      <c r="L16" s="17"/>
      <c r="M16" s="17"/>
      <c r="N16" s="19"/>
      <c r="O16" s="85"/>
      <c r="P16" s="26"/>
      <c r="Q16" s="92"/>
      <c r="R16" s="18"/>
      <c r="S16" s="18"/>
      <c r="T16" s="143"/>
      <c r="U16" s="333"/>
      <c r="V16" s="333"/>
      <c r="W16" s="320" t="s">
        <v>227</v>
      </c>
      <c r="X16" s="320" t="s">
        <v>49</v>
      </c>
      <c r="Y16" s="316" t="s">
        <v>233</v>
      </c>
      <c r="Z16" s="316"/>
      <c r="AA16" s="18"/>
      <c r="AB16" s="18"/>
      <c r="AC16" s="17"/>
      <c r="AD16" s="17"/>
      <c r="AE16" s="19"/>
      <c r="AF16" s="85"/>
      <c r="AG16" s="26"/>
      <c r="AH16" s="92"/>
      <c r="AJ16" s="37"/>
      <c r="AK16" s="393" t="s">
        <v>253</v>
      </c>
      <c r="AL16" s="393"/>
      <c r="AM16" s="238">
        <f>IF(O29="Default",SUM(G37:M37),SUM(G38:M38))</f>
        <v>42.5</v>
      </c>
      <c r="AN16" s="232"/>
      <c r="AO16" s="393" t="s">
        <v>253</v>
      </c>
      <c r="AP16" s="393"/>
      <c r="AQ16" s="238">
        <f>IF(AF29="Default",SUM(X37:AD37),SUM(X38:AD38))</f>
        <v>85</v>
      </c>
      <c r="AR16" s="37"/>
    </row>
    <row r="17" spans="1:44" ht="19.5" customHeight="1" thickBot="1" x14ac:dyDescent="0.4">
      <c r="A17" s="303"/>
      <c r="B17" s="24"/>
      <c r="C17" s="91"/>
      <c r="D17" s="333"/>
      <c r="E17" s="333"/>
      <c r="F17" s="320"/>
      <c r="G17" s="320"/>
      <c r="H17" s="159" t="s">
        <v>50</v>
      </c>
      <c r="I17" s="159" t="s">
        <v>226</v>
      </c>
      <c r="J17" s="18"/>
      <c r="K17" s="17"/>
      <c r="L17" s="17"/>
      <c r="M17" s="17"/>
      <c r="N17" s="19"/>
      <c r="O17" s="17"/>
      <c r="P17" s="17"/>
      <c r="Q17" s="103"/>
      <c r="R17" s="18"/>
      <c r="S17" s="18"/>
      <c r="T17" s="143"/>
      <c r="U17" s="333"/>
      <c r="V17" s="333"/>
      <c r="W17" s="320"/>
      <c r="X17" s="320"/>
      <c r="Y17" s="159" t="s">
        <v>50</v>
      </c>
      <c r="Z17" s="159" t="s">
        <v>226</v>
      </c>
      <c r="AA17" s="18"/>
      <c r="AB17" s="17"/>
      <c r="AC17" s="17"/>
      <c r="AD17" s="17"/>
      <c r="AE17" s="19"/>
      <c r="AF17" s="17"/>
      <c r="AG17" s="17"/>
      <c r="AH17" s="103"/>
      <c r="AJ17" s="37"/>
      <c r="AK17" s="393" t="s">
        <v>254</v>
      </c>
      <c r="AL17" s="393"/>
      <c r="AM17" s="238">
        <f>IF(O31="Default",O32,O33)</f>
        <v>24.468580510030989</v>
      </c>
      <c r="AN17" s="232"/>
      <c r="AO17" s="393" t="s">
        <v>254</v>
      </c>
      <c r="AP17" s="393"/>
      <c r="AQ17" s="238">
        <f>IF(AF31="Default",AF32,AF33)</f>
        <v>55.066386588260059</v>
      </c>
      <c r="AR17" s="37"/>
    </row>
    <row r="18" spans="1:44" ht="19.5" customHeight="1" x14ac:dyDescent="0.35">
      <c r="A18" s="303"/>
      <c r="B18" s="24"/>
      <c r="C18" s="91"/>
      <c r="D18" s="329" t="s">
        <v>269</v>
      </c>
      <c r="E18" s="329" t="s">
        <v>270</v>
      </c>
      <c r="F18" s="334" t="str">
        <f>_xlfn.XLOOKUP($AK$13,'Underlying mass data'!$C$4:$C$226,'Underlying mass data'!$H$4:$H$226,"Nil.",0)</f>
        <v>A123</v>
      </c>
      <c r="G18" s="332">
        <f>_xlfn.XLOOKUP($AK$13,'Underlying mass data'!$C$4:$C$226,'Underlying mass data'!I4:I226,"",0)</f>
        <v>42.5</v>
      </c>
      <c r="H18" s="332">
        <f>_xlfn.XLOOKUP($AK$13,'Underlying mass data'!$C$4:$C$226,'Underlying mass data'!J4:J226,"",0)</f>
        <v>24.468580510030989</v>
      </c>
      <c r="I18" s="332">
        <f>_xlfn.XLOOKUP($AK$13,'Underlying mass data'!$C$4:$C$226,'Underlying mass data'!K4:K226,"",0)</f>
        <v>18.031419489969011</v>
      </c>
      <c r="J18" s="18"/>
      <c r="K18" s="17"/>
      <c r="L18" s="17"/>
      <c r="M18" s="19"/>
      <c r="N18" s="19"/>
      <c r="O18" s="17"/>
      <c r="P18" s="17"/>
      <c r="Q18" s="103"/>
      <c r="S18" s="18"/>
      <c r="T18" s="143"/>
      <c r="U18" s="329" t="s">
        <v>269</v>
      </c>
      <c r="V18" s="329" t="s">
        <v>270</v>
      </c>
      <c r="W18" s="334" t="str">
        <f>_xlfn.XLOOKUP($AO$13,'Underlying mass data'!$C$4:$C$226,'Underlying mass data'!H4:H226,"Nil.",0)</f>
        <v>A123T33</v>
      </c>
      <c r="X18" s="332">
        <f>_xlfn.XLOOKUP($AO$13,'Underlying mass data'!$C$4:$C$226,'Underlying mass data'!I4:I226,"",0)</f>
        <v>85</v>
      </c>
      <c r="Y18" s="332">
        <f>_xlfn.XLOOKUP($AO$13,'Underlying mass data'!$C$4:$C$226,'Underlying mass data'!J4:J226,"",0)</f>
        <v>55.066386588260059</v>
      </c>
      <c r="Z18" s="332">
        <f>_xlfn.XLOOKUP($AO$13,'Underlying mass data'!$C$4:$C$226,'Underlying mass data'!K4:K226,"",0)</f>
        <v>29.933613411739941</v>
      </c>
      <c r="AA18" s="18"/>
      <c r="AB18" s="17"/>
      <c r="AC18" s="17"/>
      <c r="AD18" s="19"/>
      <c r="AE18" s="19"/>
      <c r="AF18" s="17"/>
      <c r="AG18" s="17"/>
      <c r="AH18" s="103"/>
      <c r="AJ18" s="37"/>
      <c r="AK18" s="393" t="s">
        <v>255</v>
      </c>
      <c r="AL18" s="393"/>
      <c r="AM18" s="238">
        <f>AM16-AM17</f>
        <v>18.031419489969011</v>
      </c>
      <c r="AN18" s="232"/>
      <c r="AO18" s="393" t="s">
        <v>255</v>
      </c>
      <c r="AP18" s="393"/>
      <c r="AQ18" s="238">
        <f>AQ16-AQ17</f>
        <v>29.933613411739941</v>
      </c>
      <c r="AR18" s="37"/>
    </row>
    <row r="19" spans="1:44" ht="19.5" customHeight="1" thickBot="1" x14ac:dyDescent="0.4">
      <c r="A19" s="303"/>
      <c r="B19" s="24"/>
      <c r="C19" s="91"/>
      <c r="D19" s="330"/>
      <c r="E19" s="330"/>
      <c r="F19" s="334"/>
      <c r="G19" s="332"/>
      <c r="H19" s="332"/>
      <c r="I19" s="332"/>
      <c r="J19" s="18"/>
      <c r="K19" s="18"/>
      <c r="L19" s="17"/>
      <c r="M19" s="17"/>
      <c r="N19" s="17"/>
      <c r="O19" s="17"/>
      <c r="P19" s="26"/>
      <c r="Q19" s="92"/>
      <c r="R19" s="18"/>
      <c r="S19" s="18"/>
      <c r="T19" s="143"/>
      <c r="U19" s="330"/>
      <c r="V19" s="330"/>
      <c r="W19" s="334"/>
      <c r="X19" s="332"/>
      <c r="Y19" s="332"/>
      <c r="Z19" s="332"/>
      <c r="AA19" s="18"/>
      <c r="AB19" s="18"/>
      <c r="AC19" s="17"/>
      <c r="AD19" s="17"/>
      <c r="AE19" s="17"/>
      <c r="AF19" s="17"/>
      <c r="AG19" s="26"/>
      <c r="AH19" s="92"/>
      <c r="AJ19" s="37"/>
      <c r="AK19" s="393" t="s">
        <v>294</v>
      </c>
      <c r="AL19" s="393"/>
      <c r="AM19" s="239">
        <f>IF(O27="Default",COUNTIF(G27:M27,"&gt;"""),COUNTIF(G29:M29,"&gt;"""))</f>
        <v>3</v>
      </c>
      <c r="AN19" s="232"/>
      <c r="AO19" s="393" t="s">
        <v>294</v>
      </c>
      <c r="AP19" s="393"/>
      <c r="AQ19" s="239">
        <f>IF(AF27="Default",COUNTIF(X27:AD27,"&gt;"""),COUNTIF(X29:AD29,"&gt;"""))</f>
        <v>5</v>
      </c>
      <c r="AR19" s="37"/>
    </row>
    <row r="20" spans="1:44" ht="19.5" customHeight="1" thickBot="1" x14ac:dyDescent="0.4">
      <c r="A20" s="303"/>
      <c r="B20" s="24"/>
      <c r="C20" s="93"/>
      <c r="D20" s="94"/>
      <c r="E20" s="94"/>
      <c r="F20" s="95"/>
      <c r="G20" s="96"/>
      <c r="H20" s="96"/>
      <c r="I20" s="96"/>
      <c r="J20" s="97"/>
      <c r="K20" s="97"/>
      <c r="L20" s="98"/>
      <c r="M20" s="98"/>
      <c r="N20" s="98"/>
      <c r="O20" s="98"/>
      <c r="P20" s="157" t="s">
        <v>338</v>
      </c>
      <c r="Q20" s="99"/>
      <c r="R20" s="18"/>
      <c r="S20" s="18"/>
      <c r="T20" s="144"/>
      <c r="U20" s="94"/>
      <c r="V20" s="94"/>
      <c r="W20" s="95"/>
      <c r="X20" s="96"/>
      <c r="Y20" s="96"/>
      <c r="Z20" s="96"/>
      <c r="AA20" s="97"/>
      <c r="AB20" s="97"/>
      <c r="AC20" s="98"/>
      <c r="AD20" s="98"/>
      <c r="AE20" s="98"/>
      <c r="AF20" s="98"/>
      <c r="AG20" s="157" t="s">
        <v>338</v>
      </c>
      <c r="AH20" s="99"/>
      <c r="AJ20" s="37"/>
      <c r="AK20" s="37"/>
      <c r="AL20" s="37"/>
      <c r="AM20" s="37"/>
      <c r="AN20" s="37"/>
      <c r="AO20" s="37"/>
      <c r="AP20" s="37"/>
      <c r="AQ20" s="37"/>
      <c r="AR20" s="37"/>
    </row>
    <row r="21" spans="1:44" ht="19.5" customHeight="1" thickBot="1" x14ac:dyDescent="0.4">
      <c r="A21" s="355"/>
      <c r="B21" s="24"/>
      <c r="C21" s="24"/>
      <c r="D21" s="83"/>
      <c r="E21" s="83"/>
      <c r="F21" s="29"/>
      <c r="G21" s="84"/>
      <c r="H21" s="84"/>
      <c r="I21" s="84"/>
      <c r="J21" s="18"/>
      <c r="K21" s="18"/>
      <c r="L21" s="17"/>
      <c r="M21" s="17"/>
      <c r="N21" s="17"/>
      <c r="O21" s="17"/>
      <c r="P21" s="26"/>
      <c r="Q21" s="26"/>
      <c r="R21" s="18"/>
      <c r="S21" s="18"/>
      <c r="T21" s="17"/>
      <c r="U21" s="83"/>
      <c r="V21" s="83"/>
      <c r="W21" s="29"/>
      <c r="X21" s="84"/>
      <c r="Y21" s="84"/>
      <c r="Z21" s="84"/>
      <c r="AA21" s="18"/>
      <c r="AB21" s="18"/>
      <c r="AC21" s="17"/>
      <c r="AD21" s="17"/>
      <c r="AE21" s="17"/>
      <c r="AF21" s="17"/>
      <c r="AG21" s="26"/>
      <c r="AH21" s="26"/>
      <c r="AJ21" s="37"/>
      <c r="AK21" s="393" t="s">
        <v>253</v>
      </c>
      <c r="AL21" s="393"/>
      <c r="AM21" s="395" t="str" cm="1">
        <f t="array" ref="AM21">IF(AQ16=AM16,"No difference in mass",_xlfn.IFS(AQ16&gt;AM16,CONCATENATE("Vehicle B is ",ROUND(AQ16-AM16,2),"t greater than Vehicle A"),AQ16&lt;AM16,CONCATENATE("Vehicle A is ",ROUND(AM16-AQ16,2),"t greater than Vehicle B")))</f>
        <v>Vehicle B is 42.5t greater than Vehicle A</v>
      </c>
      <c r="AN21" s="395"/>
      <c r="AO21" s="395"/>
      <c r="AP21" s="395"/>
      <c r="AQ21" s="395"/>
      <c r="AR21" s="37"/>
    </row>
    <row r="22" spans="1:44" ht="19.5" customHeight="1" thickTop="1" x14ac:dyDescent="0.35">
      <c r="A22" s="302" t="s">
        <v>367</v>
      </c>
      <c r="B22" s="27"/>
      <c r="C22" s="27"/>
      <c r="D22" s="27"/>
      <c r="E22" s="20"/>
      <c r="F22" s="21"/>
      <c r="G22" s="21"/>
      <c r="H22" s="21"/>
      <c r="I22" s="21"/>
      <c r="J22" s="21"/>
      <c r="K22" s="21"/>
      <c r="L22" s="20"/>
      <c r="M22" s="20"/>
      <c r="N22" s="20"/>
      <c r="O22" s="20"/>
      <c r="P22" s="154"/>
      <c r="Q22" s="154"/>
      <c r="R22" s="18"/>
      <c r="S22" s="18"/>
      <c r="T22" s="20"/>
      <c r="U22" s="21"/>
      <c r="V22" s="21"/>
      <c r="W22" s="21"/>
      <c r="X22" s="21"/>
      <c r="Y22" s="21"/>
      <c r="Z22" s="21"/>
      <c r="AA22" s="20"/>
      <c r="AB22" s="20"/>
      <c r="AC22" s="20"/>
      <c r="AD22" s="20"/>
      <c r="AE22" s="154"/>
      <c r="AF22" s="154"/>
      <c r="AG22" s="154"/>
      <c r="AH22" s="154"/>
      <c r="AJ22" s="37"/>
      <c r="AK22" s="393" t="s">
        <v>254</v>
      </c>
      <c r="AL22" s="393"/>
      <c r="AM22" s="395" t="str" cm="1">
        <f t="array" ref="AM22">IF(AQ17=AM17,"No difference in mass",_xlfn.IFS(AQ17&gt;AM17,CONCATENATE("Vehicle B is ",ROUND(AQ17-AM17,2),"t greater than Vehicle A"),AQ17&lt;AM17,CONCATENATE("Vehicle A is ",ROUND(AM17-AQ17,2),"t greater than Vehicle B")))</f>
        <v>Vehicle B is 30.6t greater than Vehicle A</v>
      </c>
      <c r="AN22" s="395"/>
      <c r="AO22" s="395"/>
      <c r="AP22" s="395"/>
      <c r="AQ22" s="395"/>
      <c r="AR22" s="37"/>
    </row>
    <row r="23" spans="1:44" ht="19.5" customHeight="1" thickBot="1" x14ac:dyDescent="0.4">
      <c r="A23" s="303"/>
      <c r="C23" s="315" t="s">
        <v>371</v>
      </c>
      <c r="D23" s="315"/>
      <c r="E23" s="315"/>
      <c r="F23" s="315"/>
      <c r="G23" s="315"/>
      <c r="H23" s="315"/>
      <c r="I23" s="315"/>
      <c r="O23" s="315" t="s">
        <v>373</v>
      </c>
      <c r="P23" s="315"/>
      <c r="Q23" s="315"/>
      <c r="R23" s="31"/>
      <c r="S23" s="31"/>
      <c r="T23" s="315" t="s">
        <v>392</v>
      </c>
      <c r="U23" s="315"/>
      <c r="V23" s="315"/>
      <c r="W23" s="315"/>
      <c r="X23" s="315"/>
      <c r="Y23" s="315"/>
      <c r="Z23" s="315"/>
      <c r="AA23" s="17"/>
      <c r="AB23" s="17"/>
      <c r="AC23" s="17"/>
      <c r="AD23" s="17"/>
      <c r="AE23" s="18"/>
      <c r="AF23" s="315" t="s">
        <v>372</v>
      </c>
      <c r="AG23" s="315"/>
      <c r="AH23" s="315"/>
      <c r="AJ23" s="37"/>
      <c r="AK23" s="393" t="s">
        <v>255</v>
      </c>
      <c r="AL23" s="393"/>
      <c r="AM23" s="395" t="str" cm="1">
        <f t="array" ref="AM23">IF(AQ18=AM18,"No difference in mass",_xlfn.IFS(AQ18&gt;AM18,CONCATENATE("Vehicle B is ",ROUND(AQ18-AM18,2),"t greater than Vehicle A"),AQ18&lt;AM18,CONCATENATE("Vehicle A is ",ROUND(AM18-AQ18,2),"t greater than Vehicle B")))</f>
        <v>Vehicle B is 11.9t greater than Vehicle A</v>
      </c>
      <c r="AN23" s="395"/>
      <c r="AO23" s="395"/>
      <c r="AP23" s="395"/>
      <c r="AQ23" s="395"/>
      <c r="AR23" s="37"/>
    </row>
    <row r="24" spans="1:44" ht="19.5" customHeight="1" thickBot="1" x14ac:dyDescent="0.4">
      <c r="A24" s="303"/>
      <c r="B24" s="24"/>
      <c r="C24" s="86"/>
      <c r="D24" s="87"/>
      <c r="E24" s="108"/>
      <c r="F24" s="108"/>
      <c r="G24" s="108"/>
      <c r="H24" s="108"/>
      <c r="I24" s="108"/>
      <c r="J24" s="108"/>
      <c r="K24" s="108"/>
      <c r="L24" s="108"/>
      <c r="M24" s="108"/>
      <c r="N24" s="109"/>
      <c r="O24" s="88"/>
      <c r="P24" s="109"/>
      <c r="Q24" s="110"/>
      <c r="R24" s="18"/>
      <c r="S24" s="18"/>
      <c r="T24" s="86"/>
      <c r="U24" s="87"/>
      <c r="V24" s="108"/>
      <c r="W24" s="108"/>
      <c r="X24" s="108"/>
      <c r="Y24" s="108"/>
      <c r="Z24" s="108"/>
      <c r="AA24" s="108"/>
      <c r="AB24" s="108"/>
      <c r="AC24" s="108"/>
      <c r="AD24" s="108"/>
      <c r="AE24" s="109"/>
      <c r="AF24" s="109"/>
      <c r="AG24" s="109"/>
      <c r="AH24" s="110"/>
      <c r="AJ24" s="37"/>
      <c r="AK24" s="37"/>
      <c r="AL24" s="37"/>
      <c r="AM24" s="37"/>
      <c r="AN24" s="37"/>
      <c r="AO24" s="37"/>
      <c r="AP24" s="37"/>
      <c r="AQ24" s="37"/>
      <c r="AR24" s="37"/>
    </row>
    <row r="25" spans="1:44" ht="19.5" customHeight="1" x14ac:dyDescent="0.35">
      <c r="A25" s="303"/>
      <c r="B25" s="24"/>
      <c r="C25" s="91"/>
      <c r="D25" s="305" t="s">
        <v>146</v>
      </c>
      <c r="E25" s="305"/>
      <c r="F25" s="305"/>
      <c r="G25" s="111">
        <v>1</v>
      </c>
      <c r="H25" s="111">
        <v>2</v>
      </c>
      <c r="I25" s="111">
        <v>3</v>
      </c>
      <c r="J25" s="111">
        <v>4</v>
      </c>
      <c r="K25" s="111">
        <v>5</v>
      </c>
      <c r="L25" s="111">
        <v>6</v>
      </c>
      <c r="M25" s="111">
        <v>7</v>
      </c>
      <c r="N25" s="18"/>
      <c r="O25" s="337" t="s">
        <v>237</v>
      </c>
      <c r="P25" s="338"/>
      <c r="Q25" s="112"/>
      <c r="R25" s="18"/>
      <c r="S25" s="18"/>
      <c r="T25" s="91"/>
      <c r="U25" s="305" t="s">
        <v>146</v>
      </c>
      <c r="V25" s="305"/>
      <c r="W25" s="305"/>
      <c r="X25" s="111">
        <v>1</v>
      </c>
      <c r="Y25" s="111">
        <v>2</v>
      </c>
      <c r="Z25" s="111">
        <v>3</v>
      </c>
      <c r="AA25" s="111">
        <v>4</v>
      </c>
      <c r="AB25" s="111">
        <v>5</v>
      </c>
      <c r="AC25" s="111">
        <v>6</v>
      </c>
      <c r="AD25" s="111">
        <v>7</v>
      </c>
      <c r="AE25" s="18"/>
      <c r="AF25" s="337" t="s">
        <v>237</v>
      </c>
      <c r="AG25" s="338"/>
      <c r="AH25" s="112"/>
      <c r="AJ25" s="37"/>
      <c r="AK25" s="396" t="s">
        <v>382</v>
      </c>
      <c r="AL25" s="396"/>
      <c r="AM25" s="396"/>
      <c r="AN25" s="396"/>
      <c r="AO25" s="396"/>
      <c r="AP25" s="396"/>
      <c r="AQ25" s="396"/>
      <c r="AR25" s="37"/>
    </row>
    <row r="26" spans="1:44" ht="19.5" customHeight="1" thickBot="1" x14ac:dyDescent="0.4">
      <c r="A26" s="303"/>
      <c r="B26" s="24"/>
      <c r="C26" s="91"/>
      <c r="D26" s="24"/>
      <c r="E26" s="331"/>
      <c r="F26" s="331"/>
      <c r="G26" s="18"/>
      <c r="H26" s="18"/>
      <c r="I26" s="18"/>
      <c r="J26" s="18"/>
      <c r="K26" s="18"/>
      <c r="L26" s="18"/>
      <c r="M26" s="18"/>
      <c r="N26" s="18"/>
      <c r="O26" s="353" t="s">
        <v>380</v>
      </c>
      <c r="P26" s="354"/>
      <c r="Q26" s="113"/>
      <c r="R26" s="18"/>
      <c r="S26" s="18"/>
      <c r="T26" s="91"/>
      <c r="U26" s="24"/>
      <c r="V26" s="331"/>
      <c r="W26" s="331"/>
      <c r="X26" s="18"/>
      <c r="Y26" s="18"/>
      <c r="Z26" s="18"/>
      <c r="AA26" s="18"/>
      <c r="AB26" s="18"/>
      <c r="AC26" s="18"/>
      <c r="AD26" s="18"/>
      <c r="AE26" s="18"/>
      <c r="AF26" s="353" t="s">
        <v>380</v>
      </c>
      <c r="AG26" s="354"/>
      <c r="AH26" s="113"/>
      <c r="AJ26" s="37"/>
      <c r="AK26" s="344" t="str">
        <f>O27</f>
        <v>Default</v>
      </c>
      <c r="AL26" s="344"/>
      <c r="AM26" s="344"/>
      <c r="AN26" s="240"/>
      <c r="AO26" s="344" t="str">
        <f>AF27</f>
        <v>Default</v>
      </c>
      <c r="AP26" s="344"/>
      <c r="AQ26" s="344"/>
      <c r="AR26" s="37"/>
    </row>
    <row r="27" spans="1:44" ht="19.5" customHeight="1" thickBot="1" x14ac:dyDescent="0.4">
      <c r="A27" s="303"/>
      <c r="C27" s="321" t="s">
        <v>380</v>
      </c>
      <c r="D27" s="374" t="s">
        <v>247</v>
      </c>
      <c r="E27" s="374"/>
      <c r="F27" s="374"/>
      <c r="G27" s="114" t="str">
        <f>_xlfn.XLOOKUP($AK$13,Mass_Data[Unique ID],Mass_Data[axle group 1],"",0)</f>
        <v>SAST</v>
      </c>
      <c r="H27" s="114" t="str">
        <f>_xlfn.XLOOKUP($AK$13,Mass_Data[Unique ID],Mass_Data[axle group 2],"",0)</f>
        <v>TADT (drive)</v>
      </c>
      <c r="I27" s="114" t="str">
        <f>_xlfn.XLOOKUP($AK$13,Mass_Data[Unique ID],Mass_Data[axle group 3],"",0)</f>
        <v>TRDT</v>
      </c>
      <c r="J27" s="114">
        <f>_xlfn.XLOOKUP($AK$13,Mass_Data[Unique ID],Mass_Data[axle group 4],"",0)</f>
        <v>0</v>
      </c>
      <c r="K27" s="114">
        <f>_xlfn.XLOOKUP($AK$13,Mass_Data[Unique ID],Mass_Data[axle group 5],"",0)</f>
        <v>0</v>
      </c>
      <c r="L27" s="114">
        <f>_xlfn.XLOOKUP($AK$13,Mass_Data[Unique ID],Mass_Data[axle group 6],"",0)</f>
        <v>0</v>
      </c>
      <c r="M27" s="114">
        <f>_xlfn.XLOOKUP($AK$13,Mass_Data[Unique ID],Mass_Data[axle group 7],"",0)</f>
        <v>0</v>
      </c>
      <c r="N27" s="18"/>
      <c r="O27" s="170" t="s">
        <v>240</v>
      </c>
      <c r="P27" s="104" t="s">
        <v>245</v>
      </c>
      <c r="Q27" s="115"/>
      <c r="R27" s="18"/>
      <c r="S27" s="18"/>
      <c r="T27" s="321" t="s">
        <v>380</v>
      </c>
      <c r="U27" s="374" t="s">
        <v>247</v>
      </c>
      <c r="V27" s="374"/>
      <c r="W27" s="374"/>
      <c r="X27" s="114" t="str">
        <f>_xlfn.XLOOKUP($AO$13,Mass_Data[Unique ID],Mass_Data[axle group 1],"",0)</f>
        <v>SAST</v>
      </c>
      <c r="Y27" s="114" t="str">
        <f>_xlfn.XLOOKUP($AO$13,Mass_Data[Unique ID],Mass_Data[axle group 2],"",0)</f>
        <v>TADT (drive)</v>
      </c>
      <c r="Z27" s="114" t="str">
        <f>_xlfn.XLOOKUP($AO$13,Mass_Data[Unique ID],Mass_Data[axle group 3],"",0)</f>
        <v>TRDT</v>
      </c>
      <c r="AA27" s="114" t="str">
        <f>_xlfn.XLOOKUP($AO$13,Mass_Data[Unique ID],Mass_Data[axle group 4],"",0)</f>
        <v>TRDT</v>
      </c>
      <c r="AB27" s="114" t="str">
        <f>_xlfn.XLOOKUP($AO$13,Mass_Data[Unique ID],Mass_Data[axle group 5],"",0)</f>
        <v>TRDT</v>
      </c>
      <c r="AC27" s="114">
        <f>_xlfn.XLOOKUP($AO$13,Mass_Data[Unique ID],Mass_Data[axle group 6],"",0)</f>
        <v>0</v>
      </c>
      <c r="AD27" s="114">
        <f>_xlfn.XLOOKUP($AO$13,Mass_Data[Unique ID],Mass_Data[axle group 7],"",0)</f>
        <v>0</v>
      </c>
      <c r="AE27" s="18"/>
      <c r="AF27" s="170" t="s">
        <v>240</v>
      </c>
      <c r="AG27" s="104" t="s">
        <v>245</v>
      </c>
      <c r="AH27" s="115"/>
      <c r="AJ27" s="37"/>
      <c r="AK27" s="240"/>
      <c r="AL27" s="240"/>
      <c r="AM27" s="240"/>
      <c r="AN27" s="240"/>
      <c r="AO27" s="240"/>
      <c r="AP27" s="240"/>
      <c r="AQ27" s="240"/>
      <c r="AR27" s="37"/>
    </row>
    <row r="28" spans="1:44" ht="19.5" customHeight="1" thickBot="1" x14ac:dyDescent="0.4">
      <c r="A28" s="303"/>
      <c r="C28" s="321"/>
      <c r="D28" s="374" t="s">
        <v>271</v>
      </c>
      <c r="E28" s="374"/>
      <c r="F28" s="374"/>
      <c r="G28" s="114" t="str">
        <f>IF(G27&gt;"",IF(OR(G27='Dropdown menus'!$H$4, G27='Dropdown menus'!$H$5, G27='Dropdown menus'!$H$6, G27='Dropdown menus'!$H$7, G27='Dropdown menus'!$H$8), "&lt; 350mm", "n/a"),"")</f>
        <v>&lt; 350mm</v>
      </c>
      <c r="H28" s="114" t="str">
        <f>IF(H27&gt;"",IF(OR(H27='Dropdown menus'!$H$4, H27='Dropdown menus'!$H$5, H27='Dropdown menus'!$H$6, H27='Dropdown menus'!$H$7, H27='Dropdown menus'!$H$8), "&lt; 350mm", "n/a"),"")</f>
        <v>n/a</v>
      </c>
      <c r="I28" s="114" t="str">
        <f>IF(I27&gt;"",IF(OR(I27='Dropdown menus'!$H$4, I27='Dropdown menus'!$H$5, I27='Dropdown menus'!$H$6, I27='Dropdown menus'!$H$7, I27='Dropdown menus'!$H$8), "&lt; 350mm", "n/a"),"")</f>
        <v>n/a</v>
      </c>
      <c r="J28" s="114" t="str">
        <f>IF(J27&gt;"",IF(OR(J27='Dropdown menus'!$H$4, J27='Dropdown menus'!$H$5, J27='Dropdown menus'!$H$6, J27='Dropdown menus'!$H$7, J27='Dropdown menus'!$H$8), "&lt; 350mm", "n/a"),"")</f>
        <v/>
      </c>
      <c r="K28" s="114" t="str">
        <f>IF(K27&gt;"",IF(OR(K27='Dropdown menus'!$H$4, K27='Dropdown menus'!$H$5, K27='Dropdown menus'!$H$6, K27='Dropdown menus'!$H$7, K27='Dropdown menus'!$H$8), "&lt; 350mm", "n/a"),"")</f>
        <v/>
      </c>
      <c r="L28" s="114" t="str">
        <f>IF(L27&gt;"",IF(OR(L27='Dropdown menus'!$H$4, L27='Dropdown menus'!$H$5, L27='Dropdown menus'!$H$6, L27='Dropdown menus'!$H$7, L27='Dropdown menus'!$H$8), "&lt; 350mm", "n/a"),"")</f>
        <v/>
      </c>
      <c r="M28" s="114" t="str">
        <f>IF(M27&gt;"",IF(OR(M27='Dropdown menus'!$H$4, M27='Dropdown menus'!$H$5, M27='Dropdown menus'!$H$6, M27='Dropdown menus'!$H$7, M27='Dropdown menus'!$H$8), "&lt; 350mm", "n/a"),"")</f>
        <v/>
      </c>
      <c r="N28" s="18"/>
      <c r="O28" s="371" t="s">
        <v>239</v>
      </c>
      <c r="P28" s="372"/>
      <c r="Q28" s="113"/>
      <c r="R28" s="18"/>
      <c r="S28" s="18"/>
      <c r="T28" s="321"/>
      <c r="U28" s="374" t="s">
        <v>271</v>
      </c>
      <c r="V28" s="374"/>
      <c r="W28" s="374"/>
      <c r="X28" s="114" t="str">
        <f>IF(X27&gt;"",IF(OR(X27='Dropdown menus'!$H$4, X27='Dropdown menus'!$H$5, X27='Dropdown menus'!$H$6, X27='Dropdown menus'!$H$7, X27='Dropdown menus'!$H$8), "&lt; 350mm", "n/a"),"")</f>
        <v>&lt; 350mm</v>
      </c>
      <c r="Y28" s="114" t="str">
        <f>IF(Y27&gt;"",IF(OR(Y27='Dropdown menus'!$H$4, Y27='Dropdown menus'!$H$5, Y27='Dropdown menus'!$H$6, Y27='Dropdown menus'!$H$7, Y27='Dropdown menus'!$H$8), "&lt; 350mm", "n/a"),"")</f>
        <v>n/a</v>
      </c>
      <c r="Z28" s="114" t="str">
        <f>IF(Z27&gt;"",IF(OR(Z27='Dropdown menus'!$H$4, Z27='Dropdown menus'!$H$5, Z27='Dropdown menus'!$H$6, Z27='Dropdown menus'!$H$7, Z27='Dropdown menus'!$H$8), "&lt; 350mm", "n/a"),"")</f>
        <v>n/a</v>
      </c>
      <c r="AA28" s="114" t="str">
        <f>IF(AA27&gt;"",IF(OR(AA27='Dropdown menus'!$H$4, AA27='Dropdown menus'!$H$5, AA27='Dropdown menus'!$H$6, AA27='Dropdown menus'!$H$7, AA27='Dropdown menus'!$H$8), "&lt; 350mm", "n/a"),"")</f>
        <v>n/a</v>
      </c>
      <c r="AB28" s="114" t="str">
        <f>IF(AB27&gt;"",IF(OR(AB27='Dropdown menus'!$H$4, AB27='Dropdown menus'!$H$5, AB27='Dropdown menus'!$H$6, AB27='Dropdown menus'!$H$7, AB27='Dropdown menus'!$H$8), "&lt; 350mm", "n/a"),"")</f>
        <v>n/a</v>
      </c>
      <c r="AC28" s="114" t="str">
        <f>IF(AC27&gt;"",IF(OR(AC27='Dropdown menus'!$H$4, AC27='Dropdown menus'!$H$5, AC27='Dropdown menus'!$H$6, AC27='Dropdown menus'!$H$7, AC27='Dropdown menus'!$H$8), "&lt; 350mm", "n/a"),"")</f>
        <v/>
      </c>
      <c r="AD28" s="114" t="str">
        <f>IF(AD27&gt;"",IF(OR(AD27='Dropdown menus'!$H$4, AD27='Dropdown menus'!$H$5, AD27='Dropdown menus'!$H$6, AD27='Dropdown menus'!$H$7, AD27='Dropdown menus'!$H$8), "&lt; 350mm", "n/a"),"")</f>
        <v/>
      </c>
      <c r="AE28" s="18"/>
      <c r="AF28" s="371" t="s">
        <v>239</v>
      </c>
      <c r="AG28" s="372"/>
      <c r="AH28" s="113"/>
      <c r="AJ28" s="37"/>
      <c r="AK28" s="397" t="s">
        <v>251</v>
      </c>
      <c r="AL28" s="397"/>
      <c r="AM28" s="397"/>
      <c r="AN28" s="397"/>
      <c r="AO28" s="397"/>
      <c r="AP28" s="397"/>
      <c r="AQ28" s="397"/>
      <c r="AR28" s="37"/>
    </row>
    <row r="29" spans="1:44" ht="19" customHeight="1" thickBot="1" x14ac:dyDescent="0.4">
      <c r="A29" s="303"/>
      <c r="C29" s="321"/>
      <c r="D29" s="328" t="s">
        <v>272</v>
      </c>
      <c r="E29" s="328"/>
      <c r="F29" s="328"/>
      <c r="G29" s="375"/>
      <c r="H29" s="375"/>
      <c r="I29" s="375"/>
      <c r="J29" s="375"/>
      <c r="K29" s="375"/>
      <c r="L29" s="375"/>
      <c r="M29" s="375"/>
      <c r="N29" s="116"/>
      <c r="O29" s="170" t="s">
        <v>240</v>
      </c>
      <c r="P29" s="104" t="s">
        <v>245</v>
      </c>
      <c r="Q29" s="115"/>
      <c r="R29" s="18"/>
      <c r="S29" s="18"/>
      <c r="T29" s="321"/>
      <c r="U29" s="328" t="s">
        <v>272</v>
      </c>
      <c r="V29" s="328"/>
      <c r="W29" s="328"/>
      <c r="X29" s="375"/>
      <c r="Y29" s="375"/>
      <c r="Z29" s="375"/>
      <c r="AA29" s="375"/>
      <c r="AB29" s="375"/>
      <c r="AC29" s="375"/>
      <c r="AD29" s="375"/>
      <c r="AE29" s="116"/>
      <c r="AF29" s="170" t="s">
        <v>240</v>
      </c>
      <c r="AG29" s="104" t="s">
        <v>245</v>
      </c>
      <c r="AH29" s="115"/>
      <c r="AJ29" s="37"/>
      <c r="AK29" s="344" t="str">
        <f>IF(L14="HML",CONCATENATE("Yes, ",COUNTIF(G32:M32,"&gt;0")," axle groups"),"No")</f>
        <v>No</v>
      </c>
      <c r="AL29" s="344"/>
      <c r="AM29" s="344"/>
      <c r="AN29" s="240"/>
      <c r="AO29" s="344" t="str">
        <f>IF(AC14="HML",CONCATENATE("Yes, ",COUNTIF(X32:AD32,"&gt;0")," axle groups"),"No")</f>
        <v>Yes, 5 axle groups</v>
      </c>
      <c r="AP29" s="344"/>
      <c r="AQ29" s="344"/>
      <c r="AR29" s="37"/>
    </row>
    <row r="30" spans="1:44" ht="19" customHeight="1" thickBot="1" x14ac:dyDescent="0.4">
      <c r="A30" s="303"/>
      <c r="C30" s="321"/>
      <c r="D30" s="328"/>
      <c r="E30" s="328"/>
      <c r="F30" s="328"/>
      <c r="G30" s="391"/>
      <c r="H30" s="391"/>
      <c r="I30" s="391"/>
      <c r="J30" s="391"/>
      <c r="K30" s="391"/>
      <c r="L30" s="391"/>
      <c r="M30" s="391"/>
      <c r="N30" s="116"/>
      <c r="O30" s="377" t="s">
        <v>12</v>
      </c>
      <c r="P30" s="378"/>
      <c r="Q30" s="115"/>
      <c r="R30" s="18"/>
      <c r="S30" s="18"/>
      <c r="T30" s="321"/>
      <c r="U30" s="392"/>
      <c r="V30" s="392"/>
      <c r="W30" s="392"/>
      <c r="X30" s="376"/>
      <c r="Y30" s="376"/>
      <c r="Z30" s="376"/>
      <c r="AA30" s="376"/>
      <c r="AB30" s="376"/>
      <c r="AC30" s="376"/>
      <c r="AD30" s="376"/>
      <c r="AE30" s="116"/>
      <c r="AF30" s="377" t="s">
        <v>12</v>
      </c>
      <c r="AG30" s="378"/>
      <c r="AH30" s="115"/>
      <c r="AJ30" s="37"/>
      <c r="AK30" s="240"/>
      <c r="AL30" s="240"/>
      <c r="AM30" s="240"/>
      <c r="AN30" s="240"/>
      <c r="AO30" s="240"/>
      <c r="AP30" s="240"/>
      <c r="AQ30" s="240"/>
      <c r="AR30" s="37"/>
    </row>
    <row r="31" spans="1:44" ht="19.5" customHeight="1" thickBot="1" x14ac:dyDescent="0.4">
      <c r="A31" s="303"/>
      <c r="C31" s="321"/>
      <c r="D31" s="25"/>
      <c r="E31" s="350"/>
      <c r="F31" s="350"/>
      <c r="G31" s="117" t="str">
        <f t="shared" ref="G31:M31" si="0">IF(G27&lt;"","",IF($O$27="Manual entry",IF(G27&gt;"","^ Select",""),"^ Leave blank"))</f>
        <v>^ Leave blank</v>
      </c>
      <c r="H31" s="117" t="str">
        <f t="shared" si="0"/>
        <v>^ Leave blank</v>
      </c>
      <c r="I31" s="117" t="str">
        <f t="shared" si="0"/>
        <v>^ Leave blank</v>
      </c>
      <c r="J31" s="117" t="str">
        <f t="shared" si="0"/>
        <v/>
      </c>
      <c r="K31" s="117" t="str">
        <f t="shared" si="0"/>
        <v/>
      </c>
      <c r="L31" s="117" t="str">
        <f t="shared" si="0"/>
        <v/>
      </c>
      <c r="M31" s="117" t="str">
        <f t="shared" si="0"/>
        <v/>
      </c>
      <c r="O31" s="170" t="s">
        <v>240</v>
      </c>
      <c r="P31" s="104" t="s">
        <v>245</v>
      </c>
      <c r="Q31" s="113"/>
      <c r="R31" s="18"/>
      <c r="S31" s="18"/>
      <c r="T31" s="321"/>
      <c r="U31" s="25"/>
      <c r="V31" s="350"/>
      <c r="W31" s="350"/>
      <c r="X31" s="117" t="str">
        <f t="shared" ref="X31:AD31" si="1">IF(X27&lt;"","",IF($AF$27="Manual entry",IF(X27&gt;"","^ Select",""),"^ Leave blank"))</f>
        <v>^ Leave blank</v>
      </c>
      <c r="Y31" s="117" t="str">
        <f t="shared" si="1"/>
        <v>^ Leave blank</v>
      </c>
      <c r="Z31" s="117" t="str">
        <f t="shared" si="1"/>
        <v>^ Leave blank</v>
      </c>
      <c r="AA31" s="117" t="str">
        <f t="shared" si="1"/>
        <v>^ Leave blank</v>
      </c>
      <c r="AB31" s="117" t="str">
        <f t="shared" si="1"/>
        <v>^ Leave blank</v>
      </c>
      <c r="AC31" s="117" t="str">
        <f t="shared" si="1"/>
        <v/>
      </c>
      <c r="AD31" s="117" t="str">
        <f t="shared" si="1"/>
        <v/>
      </c>
      <c r="AF31" s="170" t="s">
        <v>240</v>
      </c>
      <c r="AG31" s="104" t="s">
        <v>245</v>
      </c>
      <c r="AH31" s="115"/>
      <c r="AJ31" s="37"/>
      <c r="AK31" s="366" t="s">
        <v>250</v>
      </c>
      <c r="AL31" s="366"/>
      <c r="AM31" s="366"/>
      <c r="AN31" s="366"/>
      <c r="AO31" s="366"/>
      <c r="AP31" s="366"/>
      <c r="AQ31" s="366"/>
      <c r="AR31" s="37"/>
    </row>
    <row r="32" spans="1:44" ht="19.5" customHeight="1" thickBot="1" x14ac:dyDescent="0.4">
      <c r="A32" s="303"/>
      <c r="C32" s="322" t="s">
        <v>249</v>
      </c>
      <c r="D32" s="310" t="s">
        <v>273</v>
      </c>
      <c r="E32" s="310"/>
      <c r="F32" s="310"/>
      <c r="G32" s="118" t="str" cm="1">
        <f t="array" ref="G32">IF(G27&gt;"",IF($L$14&lt;&gt;"HML", "HML only", IF(OR(G33="Yes", G33=""),_xlfn.XLOOKUP(G27&amp;$L$14, Axle_Data[Axle Code]&amp;Axle_Data[Mass Scheme], Axle_Data[Road Friendly Suspension (RFS) Factor], "", 0), IF(G33="No", "",""))),"")</f>
        <v>HML only</v>
      </c>
      <c r="H32" s="118" t="str" cm="1">
        <f t="array" ref="H32">IF(H27&gt;"",IF($L$14&lt;&gt;"HML", "HML only", IF(OR(H33="Yes", H33=""),_xlfn.XLOOKUP(H27&amp;$L$14, Axle_Data[Axle Code]&amp;Axle_Data[Mass Scheme], Axle_Data[Road Friendly Suspension (RFS) Factor], "", 0), IF(H33="No", "",""))),"")</f>
        <v>HML only</v>
      </c>
      <c r="I32" s="118" t="str" cm="1">
        <f t="array" ref="I32">IF(I27&gt;"",IF($L$14&lt;&gt;"HML", "HML only", IF(OR(I33="Yes", I33=""),_xlfn.XLOOKUP(I27&amp;$L$14, Axle_Data[Axle Code]&amp;Axle_Data[Mass Scheme], Axle_Data[Road Friendly Suspension (RFS) Factor], "", 0), IF(I33="No", "",""))),"")</f>
        <v>HML only</v>
      </c>
      <c r="J32" s="118" t="str" cm="1">
        <f t="array" ref="J32">IF(J27&gt;"",IF($L$14&lt;&gt;"HML", "HML only", IF(OR(J33="Yes", J33=""),_xlfn.XLOOKUP(J27&amp;$L$14, Axle_Data[Axle Code]&amp;Axle_Data[Mass Scheme], Axle_Data[Road Friendly Suspension (RFS) Factor], "", 0), IF(J33="No", "",""))),"")</f>
        <v/>
      </c>
      <c r="K32" s="118" t="str" cm="1">
        <f t="array" ref="K32">IF(K27&gt;"",IF($L$14&lt;&gt;"HML", "HML only", IF(OR(K33="Yes", K33=""),_xlfn.XLOOKUP(K27&amp;$L$14, Axle_Data[Axle Code]&amp;Axle_Data[Mass Scheme], Axle_Data[Road Friendly Suspension (RFS) Factor], "", 0), IF(K33="No", "",""))),"")</f>
        <v/>
      </c>
      <c r="L32" s="118" t="str" cm="1">
        <f t="array" ref="L32">IF(L27&gt;"",IF($L$14&lt;&gt;"HML", "HML only", IF(OR(L33="Yes", L33=""),_xlfn.XLOOKUP(L27&amp;$L$14, Axle_Data[Axle Code]&amp;Axle_Data[Mass Scheme], Axle_Data[Road Friendly Suspension (RFS) Factor], "", 0), IF(L33="No", "",""))),"")</f>
        <v/>
      </c>
      <c r="M32" s="118" t="str" cm="1">
        <f t="array" ref="M32">IF(M27&gt;"",IF($L$14&lt;&gt;"HML", "HML only", IF(OR(M33="Yes", M33=""),_xlfn.XLOOKUP(M27&amp;$L$14, Axle_Data[Axle Code]&amp;Axle_Data[Mass Scheme], Axle_Data[Road Friendly Suspension (RFS) Factor], "", 0), IF(M33="No", "",""))),"")</f>
        <v/>
      </c>
      <c r="N32" s="304" t="str">
        <f>IF(AND(L14&lt;&gt;"HML",COUNTIF(G33:M33, "Yes")&gt;0), "Only applicable to HML. Leave blank.", "")</f>
        <v/>
      </c>
      <c r="O32" s="105">
        <f>IF(O31="Manual entry","",H18)</f>
        <v>24.468580510030989</v>
      </c>
      <c r="P32" s="106" t="str">
        <f>IF(O31="Average",IF(O32="ERROR","Check combination and mass",""),"")</f>
        <v/>
      </c>
      <c r="Q32" s="115"/>
      <c r="R32" s="18"/>
      <c r="S32" s="18"/>
      <c r="T32" s="322" t="s">
        <v>249</v>
      </c>
      <c r="U32" s="310" t="s">
        <v>273</v>
      </c>
      <c r="V32" s="310"/>
      <c r="W32" s="310"/>
      <c r="X32" s="118" cm="1">
        <f t="array" ref="X32">IF(X27&gt;"",IF($AC$14&lt;&gt;"HML", "HML only", IF(OR(X33="Yes", X33=""),_xlfn.XLOOKUP(X27&amp;$AC$14, Axle_Data[Axle Code]&amp;Axle_Data[Mass Scheme], Axle_Data[Road Friendly Suspension (RFS) Factor], "", 0), IF(X33="No", "",""))),"")</f>
        <v>1</v>
      </c>
      <c r="Y32" s="118" cm="1">
        <f t="array" ref="Y32">IF(Y27&gt;"",IF($AC$14&lt;&gt;"HML", "HML only", IF(OR(Y33="Yes", Y33=""),_xlfn.XLOOKUP(Y27&amp;$AC$14, Axle_Data[Axle Code]&amp;Axle_Data[Mass Scheme], Axle_Data[Road Friendly Suspension (RFS) Factor], "", 0), IF(Y33="No", "",""))),"")</f>
        <v>1.25</v>
      </c>
      <c r="Z32" s="118" cm="1">
        <f t="array" ref="Z32">IF(Z27&gt;"",IF($AC$14&lt;&gt;"HML", "HML only", IF(OR(Z33="Yes", Z33=""),_xlfn.XLOOKUP(Z27&amp;$AC$14, Axle_Data[Axle Code]&amp;Axle_Data[Mass Scheme], Axle_Data[Road Friendly Suspension (RFS) Factor], "", 0), IF(Z33="No", "",""))),"")</f>
        <v>1.2</v>
      </c>
      <c r="AA32" s="118" cm="1">
        <f t="array" ref="AA32">IF(AA27&gt;"",IF($AC$14&lt;&gt;"HML", "HML only", IF(OR(AA33="Yes", AA33=""),_xlfn.XLOOKUP(AA27&amp;$AC$14, Axle_Data[Axle Code]&amp;Axle_Data[Mass Scheme], Axle_Data[Road Friendly Suspension (RFS) Factor], "", 0), IF(AA33="No", "",""))),"")</f>
        <v>1.2</v>
      </c>
      <c r="AB32" s="118" cm="1">
        <f t="array" ref="AB32">IF(AB27&gt;"",IF($AC$14&lt;&gt;"HML", "HML only", IF(OR(AB33="Yes", AB33=""),_xlfn.XLOOKUP(AB27&amp;$AC$14, Axle_Data[Axle Code]&amp;Axle_Data[Mass Scheme], Axle_Data[Road Friendly Suspension (RFS) Factor], "", 0), IF(AB33="No", "",""))),"")</f>
        <v>1.2</v>
      </c>
      <c r="AC32" s="118" t="str" cm="1">
        <f t="array" ref="AC32">IF(AC27&gt;"",IF($AC$14&lt;&gt;"HML", "HML only", IF(OR(AC33="Yes", AC33=""),_xlfn.XLOOKUP(AC27&amp;$AC$14, Axle_Data[Axle Code]&amp;Axle_Data[Mass Scheme], Axle_Data[Road Friendly Suspension (RFS) Factor], "", 0), IF(AC33="No", "",""))),"")</f>
        <v/>
      </c>
      <c r="AD32" s="118" t="str" cm="1">
        <f t="array" ref="AD32">IF(AD27&gt;"",IF($AC$14&lt;&gt;"HML", "HML only", IF(OR(AD33="Yes", AD33=""),_xlfn.XLOOKUP(AD27&amp;$AC$14, Axle_Data[Axle Code]&amp;Axle_Data[Mass Scheme], Axle_Data[Road Friendly Suspension (RFS) Factor], "", 0), IF(AD33="No", "",""))),"")</f>
        <v/>
      </c>
      <c r="AF32" s="105">
        <f>IF(AF31="Manual entry","",Y18)</f>
        <v>55.066386588260059</v>
      </c>
      <c r="AG32" s="106" t="str">
        <f>IF(AF31="Average",IF(AF32="ERROR","Check combination and mass",""),"")</f>
        <v/>
      </c>
      <c r="AH32" s="113"/>
      <c r="AJ32" s="37"/>
      <c r="AK32" s="344" t="str">
        <f>O29</f>
        <v>Default</v>
      </c>
      <c r="AL32" s="344"/>
      <c r="AM32" s="344"/>
      <c r="AN32" s="240"/>
      <c r="AO32" s="344" t="str">
        <f>AF29</f>
        <v>Default</v>
      </c>
      <c r="AP32" s="344"/>
      <c r="AQ32" s="344"/>
      <c r="AR32" s="37"/>
    </row>
    <row r="33" spans="1:52" ht="19.5" customHeight="1" thickBot="1" x14ac:dyDescent="0.4">
      <c r="A33" s="303"/>
      <c r="C33" s="322"/>
      <c r="D33" s="308" t="s">
        <v>374</v>
      </c>
      <c r="E33" s="308"/>
      <c r="F33" s="309"/>
      <c r="G33" s="172"/>
      <c r="H33" s="172"/>
      <c r="I33" s="172"/>
      <c r="J33" s="172"/>
      <c r="K33" s="172"/>
      <c r="L33" s="172"/>
      <c r="M33" s="172"/>
      <c r="N33" s="304"/>
      <c r="O33" s="171"/>
      <c r="P33" s="107" t="str">
        <f>IF(O31="Default","&lt; Leave blank", "&lt; Enter payload")</f>
        <v>&lt; Leave blank</v>
      </c>
      <c r="Q33" s="119"/>
      <c r="R33" s="18"/>
      <c r="S33" s="18"/>
      <c r="T33" s="322"/>
      <c r="U33" s="308" t="s">
        <v>374</v>
      </c>
      <c r="V33" s="308"/>
      <c r="W33" s="309"/>
      <c r="X33" s="172"/>
      <c r="Y33" s="172"/>
      <c r="Z33" s="172"/>
      <c r="AA33" s="172"/>
      <c r="AB33" s="172"/>
      <c r="AC33" s="172"/>
      <c r="AD33" s="172"/>
      <c r="AE33" s="304" t="str">
        <f>IF(AND(AC14&lt;&gt;"HML",COUNTIF(X33:AD33, "Yes")&gt;0), "Only applicable to HML. Leave blank.", "")</f>
        <v/>
      </c>
      <c r="AF33" s="171"/>
      <c r="AG33" s="107" t="str">
        <f>IF(AF31="Default","&lt; Leave blank", "&lt; Enter payload")</f>
        <v>&lt; Leave blank</v>
      </c>
      <c r="AH33" s="115"/>
      <c r="AJ33" s="37"/>
      <c r="AK33" s="37"/>
      <c r="AL33" s="37"/>
      <c r="AM33" s="37"/>
      <c r="AN33" s="37"/>
      <c r="AO33" s="37"/>
      <c r="AP33" s="37"/>
      <c r="AQ33" s="37"/>
      <c r="AR33" s="37"/>
    </row>
    <row r="34" spans="1:52" ht="19.5" customHeight="1" x14ac:dyDescent="0.35">
      <c r="A34" s="303"/>
      <c r="C34" s="322"/>
      <c r="D34" s="120"/>
      <c r="E34" s="120"/>
      <c r="F34" s="120"/>
      <c r="G34" s="121" t="str">
        <f t="shared" ref="G34:M34" si="2">IF(G27&gt;"",IF($L$14="HML","^ Select","^ Leave blank"),"")</f>
        <v>^ Leave blank</v>
      </c>
      <c r="H34" s="121" t="str">
        <f t="shared" si="2"/>
        <v>^ Leave blank</v>
      </c>
      <c r="I34" s="121" t="str">
        <f t="shared" si="2"/>
        <v>^ Leave blank</v>
      </c>
      <c r="J34" s="121" t="str">
        <f t="shared" si="2"/>
        <v/>
      </c>
      <c r="K34" s="121" t="str">
        <f t="shared" si="2"/>
        <v/>
      </c>
      <c r="L34" s="121" t="str">
        <f t="shared" si="2"/>
        <v/>
      </c>
      <c r="M34" s="121" t="str">
        <f t="shared" si="2"/>
        <v/>
      </c>
      <c r="Q34" s="122"/>
      <c r="R34" s="18"/>
      <c r="S34" s="18"/>
      <c r="T34" s="322"/>
      <c r="U34" s="120"/>
      <c r="V34" s="120"/>
      <c r="W34" s="120"/>
      <c r="X34" s="121" t="str">
        <f t="shared" ref="X34:AD34" si="3">IF(X27&gt;"",IF($AC$14="HML","^ Select","^ Leave blank"),"")</f>
        <v>^ Select</v>
      </c>
      <c r="Y34" s="121" t="str">
        <f t="shared" si="3"/>
        <v>^ Select</v>
      </c>
      <c r="Z34" s="121" t="str">
        <f t="shared" si="3"/>
        <v>^ Select</v>
      </c>
      <c r="AA34" s="121" t="str">
        <f t="shared" si="3"/>
        <v>^ Select</v>
      </c>
      <c r="AB34" s="121" t="str">
        <f t="shared" si="3"/>
        <v>^ Select</v>
      </c>
      <c r="AC34" s="121" t="str">
        <f t="shared" si="3"/>
        <v/>
      </c>
      <c r="AD34" s="121" t="str">
        <f t="shared" si="3"/>
        <v/>
      </c>
      <c r="AE34" s="304"/>
      <c r="AH34" s="113"/>
      <c r="AJ34" s="37"/>
      <c r="AK34" s="37"/>
      <c r="AL34" s="37"/>
      <c r="AM34" s="37"/>
      <c r="AN34" s="37"/>
      <c r="AO34" s="37"/>
      <c r="AP34" s="37"/>
      <c r="AQ34" s="37"/>
      <c r="AR34" s="37"/>
    </row>
    <row r="35" spans="1:52" ht="19.5" customHeight="1" x14ac:dyDescent="0.35">
      <c r="A35" s="303"/>
      <c r="C35" s="323" t="s">
        <v>239</v>
      </c>
      <c r="D35" s="306" t="s">
        <v>232</v>
      </c>
      <c r="E35" s="306"/>
      <c r="F35" s="306"/>
      <c r="G35" s="123" cm="1">
        <f t="array" ref="G35">IF(G27&lt;"", "",
    IF($O$27="Default", _xlfn.XLOOKUP(G27 &amp; G28 &amp; $L$14, Axle_Data[Axle Code] &amp; Axle_Data[Tyre Size] &amp; Axle_Data[Mass Scheme], Axle_Data[Standard Axle Mass (t)], "Check inputs above", 0),
       IF($O$27="Manual entry", _xlfn.XLOOKUP(G29 &amp; $L$14, Axle_Data[Description (short)] &amp; Axle_Data[Mass Scheme], Axle_Data[Standard Axle Mass (t)], "Check inputs above", 0), "")
    )
)</f>
        <v>5.4044959288000003</v>
      </c>
      <c r="H35" s="123" cm="1">
        <f t="array" ref="H35">IF(H27&lt;"", "",
    IF($O$27="Default", _xlfn.XLOOKUP(H27 &amp; H28 &amp; $L$14, Axle_Data[Axle Code] &amp; Axle_Data[Tyre Size] &amp; Axle_Data[Mass Scheme], Axle_Data[Standard Axle Mass (t)], "Check inputs above", 0),
       IF($O$27="Manual entry", _xlfn.XLOOKUP(H29 &amp; $L$14, Axle_Data[Description (short)] &amp; Axle_Data[Mass Scheme], Axle_Data[Standard Axle Mass (t)], "Check inputs above", 0), "")
    )
)</f>
        <v>13.766168875</v>
      </c>
      <c r="I35" s="123" cm="1">
        <f t="array" ref="I35">IF(I27&lt;"", "",
    IF($O$27="Default", _xlfn.XLOOKUP(I27 &amp; I28 &amp; $L$14, Axle_Data[Axle Code] &amp; Axle_Data[Tyre Size] &amp; Axle_Data[Mass Scheme], Axle_Data[Standard Axle Mass (t)], "Check inputs above", 0),
       IF($O$27="Manual entry", _xlfn.XLOOKUP(I29 &amp; $L$14, Axle_Data[Description (short)] &amp; Axle_Data[Mass Scheme], Axle_Data[Standard Axle Mass (t)], "Check inputs above", 0), "")
    )
)</f>
        <v>18.558835076000001</v>
      </c>
      <c r="J35" s="123" t="str" cm="1">
        <f t="array" ref="J35">IF(J27&lt;"", "",
    IF($O$27="Default", _xlfn.XLOOKUP(J27 &amp; J28 &amp; $L$14, Axle_Data[Axle Code] &amp; Axle_Data[Tyre Size] &amp; Axle_Data[Mass Scheme], Axle_Data[Standard Axle Mass (t)], "Check inputs above", 0),
       IF($O$27="Manual entry", _xlfn.XLOOKUP(J29 &amp; $L$14, Axle_Data[Description (short)] &amp; Axle_Data[Mass Scheme], Axle_Data[Standard Axle Mass (t)], "Check inputs above", 0), "")
    )
)</f>
        <v/>
      </c>
      <c r="K35" s="123" t="str" cm="1">
        <f t="array" ref="K35">IF(K27&lt;"", "",
    IF($O$27="Default", _xlfn.XLOOKUP(K27 &amp; K28 &amp; $L$14, Axle_Data[Axle Code] &amp; Axle_Data[Tyre Size] &amp; Axle_Data[Mass Scheme], Axle_Data[Standard Axle Mass (t)], "Check inputs above", 0),
       IF($O$27="Manual entry", _xlfn.XLOOKUP(K29 &amp; $L$14, Axle_Data[Description (short)] &amp; Axle_Data[Mass Scheme], Axle_Data[Standard Axle Mass (t)], "Check inputs above", 0), "")
    )
)</f>
        <v/>
      </c>
      <c r="L35" s="123" t="str" cm="1">
        <f t="array" ref="L35">IF(L27&lt;"", "",
    IF($O$27="Default", _xlfn.XLOOKUP(L27 &amp; L28 &amp; $L$14, Axle_Data[Axle Code] &amp; Axle_Data[Tyre Size] &amp; Axle_Data[Mass Scheme], Axle_Data[Standard Axle Mass (t)], "Check inputs above", 0),
       IF($O$27="Manual entry", _xlfn.XLOOKUP(L29 &amp; $L$14, Axle_Data[Description (short)] &amp; Axle_Data[Mass Scheme], Axle_Data[Standard Axle Mass (t)], "Check inputs above", 0), "")
    )
)</f>
        <v/>
      </c>
      <c r="M35" s="123" t="str" cm="1">
        <f t="array" ref="M35">IF(M27&lt;"", "",
    IF($O$27="Default", _xlfn.XLOOKUP(M27 &amp; M28 &amp; $L$14, Axle_Data[Axle Code] &amp; Axle_Data[Tyre Size] &amp; Axle_Data[Mass Scheme], Axle_Data[Standard Axle Mass (t)], "Check inputs above", 0),
       IF($O$27="Manual entry", _xlfn.XLOOKUP(M29 &amp; $L$14, Axle_Data[Description (short)] &amp; Axle_Data[Mass Scheme], Axle_Data[Standard Axle Mass (t)], "Check inputs above", 0), "")
    )
)</f>
        <v/>
      </c>
      <c r="N35" s="314" t="s">
        <v>246</v>
      </c>
      <c r="Q35" s="124"/>
      <c r="R35" s="18"/>
      <c r="S35" s="18"/>
      <c r="T35" s="323" t="s">
        <v>239</v>
      </c>
      <c r="U35" s="306" t="s">
        <v>232</v>
      </c>
      <c r="V35" s="306"/>
      <c r="W35" s="306"/>
      <c r="X35" s="123" cm="1">
        <f t="array" ref="X35">IF(X27&lt;"", "",
    IF($AF$27="Default", _xlfn.XLOOKUP(X27 &amp; X28 &amp; $AC$14, Axle_Data[Axle Code] &amp; Axle_Data[Tyre Size] &amp; Axle_Data[Mass Scheme], Axle_Data[Standard Axle Mass (t)], "Check inputs above", 0),
       IF($AF$27="Manual entry", _xlfn.XLOOKUP(X29 &amp; $AC$14, Axle_Data[Description (short)] &amp; Axle_Data[Mass Scheme], Axle_Data[Standard Axle Mass (t)], "Check inputs above", 0), "")
    )
)</f>
        <v>5.4044959288000003</v>
      </c>
      <c r="Y35" s="123" cm="1">
        <f t="array" ref="Y35">IF(Y27&lt;"", "",
    IF($AF$27="Default", _xlfn.XLOOKUP(Y27 &amp; Y28 &amp; $AC$14, Axle_Data[Axle Code] &amp; Axle_Data[Tyre Size] &amp; Axle_Data[Mass Scheme], Axle_Data[Standard Axle Mass (t)], "Check inputs above", 0),
       IF($AF$27="Manual entry", _xlfn.XLOOKUP(Y29 &amp; $AC$14, Axle_Data[Description (short)] &amp; Axle_Data[Mass Scheme], Axle_Data[Standard Axle Mass (t)], "Check inputs above", 0), "")
    )
)</f>
        <v>13.766168875</v>
      </c>
      <c r="Z35" s="123" cm="1">
        <f t="array" ref="Z35">IF(Z27&lt;"", "",
    IF($AF$27="Default", _xlfn.XLOOKUP(Z27 &amp; Z28 &amp; $AC$14, Axle_Data[Axle Code] &amp; Axle_Data[Tyre Size] &amp; Axle_Data[Mass Scheme], Axle_Data[Standard Axle Mass (t)], "Check inputs above", 0),
       IF($AF$27="Manual entry", _xlfn.XLOOKUP(Z29 &amp; $AC$14, Axle_Data[Description (short)] &amp; Axle_Data[Mass Scheme], Axle_Data[Standard Axle Mass (t)], "Check inputs above", 0), "")
    )
)</f>
        <v>18.558835076000001</v>
      </c>
      <c r="AA35" s="123" cm="1">
        <f t="array" ref="AA35">IF(AA27&lt;"", "",
    IF($AF$27="Default", _xlfn.XLOOKUP(AA27 &amp; AA28 &amp; $AC$14, Axle_Data[Axle Code] &amp; Axle_Data[Tyre Size] &amp; Axle_Data[Mass Scheme], Axle_Data[Standard Axle Mass (t)], "Check inputs above", 0),
       IF($AF$27="Manual entry", _xlfn.XLOOKUP(AA29 &amp; $AC$14, Axle_Data[Description (short)] &amp; Axle_Data[Mass Scheme], Axle_Data[Standard Axle Mass (t)], "Check inputs above", 0), "")
    )
)</f>
        <v>18.558835076000001</v>
      </c>
      <c r="AB35" s="123" cm="1">
        <f t="array" ref="AB35">IF(AB27&lt;"", "",
    IF($AF$27="Default", _xlfn.XLOOKUP(AB27 &amp; AB28 &amp; $AC$14, Axle_Data[Axle Code] &amp; Axle_Data[Tyre Size] &amp; Axle_Data[Mass Scheme], Axle_Data[Standard Axle Mass (t)], "Check inputs above", 0),
       IF($AF$27="Manual entry", _xlfn.XLOOKUP(AB29 &amp; $AC$14, Axle_Data[Description (short)] &amp; Axle_Data[Mass Scheme], Axle_Data[Standard Axle Mass (t)], "Check inputs above", 0), "")
    )
)</f>
        <v>18.558835076000001</v>
      </c>
      <c r="AC35" s="123" t="str" cm="1">
        <f t="array" ref="AC35">IF(AC27&lt;"", "",
    IF($AF$27="Default", _xlfn.XLOOKUP(AC27 &amp; AC28 &amp; $AC$14, Axle_Data[Axle Code] &amp; Axle_Data[Tyre Size] &amp; Axle_Data[Mass Scheme], Axle_Data[Standard Axle Mass (t)], "Check inputs above", 0),
       IF($AF$27="Manual entry", _xlfn.XLOOKUP(AC29 &amp; $AC$14, Axle_Data[Description (short)] &amp; Axle_Data[Mass Scheme], Axle_Data[Standard Axle Mass (t)], "Check inputs above", 0), "")
    )
)</f>
        <v/>
      </c>
      <c r="AD35" s="123" t="str" cm="1">
        <f t="array" ref="AD35">IF(AD27&lt;"", "",
    IF($AF$27="Default", _xlfn.XLOOKUP(AD27 &amp; AD28 &amp; $AC$14, Axle_Data[Axle Code] &amp; Axle_Data[Tyre Size] &amp; Axle_Data[Mass Scheme], Axle_Data[Standard Axle Mass (t)], "Check inputs above", 0),
       IF($AF$27="Manual entry", _xlfn.XLOOKUP(AD29 &amp; $AC$14, Axle_Data[Description (short)] &amp; Axle_Data[Mass Scheme], Axle_Data[Standard Axle Mass (t)], "Check inputs above", 0), "")
    )
)</f>
        <v/>
      </c>
      <c r="AE35" s="314" t="s">
        <v>246</v>
      </c>
      <c r="AH35" s="115"/>
      <c r="AJ35" s="417" t="s">
        <v>343</v>
      </c>
      <c r="AK35" s="417"/>
      <c r="AL35" s="417"/>
      <c r="AM35" s="417"/>
      <c r="AN35" s="417"/>
      <c r="AO35" s="417"/>
      <c r="AP35" s="417"/>
      <c r="AQ35" s="417"/>
      <c r="AR35" s="417"/>
      <c r="AS35" s="244"/>
      <c r="AT35" s="244"/>
      <c r="AU35" s="231"/>
    </row>
    <row r="36" spans="1:52" ht="19.5" customHeight="1" x14ac:dyDescent="0.35">
      <c r="A36" s="303"/>
      <c r="C36" s="323"/>
      <c r="D36" s="306" t="s">
        <v>235</v>
      </c>
      <c r="E36" s="306"/>
      <c r="F36" s="306"/>
      <c r="G36" s="123" cm="1">
        <f t="array" ref="G36">IF(G27&lt;"", "",
    IF($O$27="Default", _xlfn.XLOOKUP(G27 &amp; G28 &amp; $L$14, Axle_Data[Axle Code] &amp; Axle_Data[Tyre Size] &amp; Axle_Data[Mass Scheme], Axle_Data[MDL Maximum Mass (t)], "Check inputs above", 0),
       IF($O$27="Manual entry", _xlfn.XLOOKUP(G29 &amp; $L$14, Axle_Data[Description (short)] &amp; Axle_Data[Mass Scheme], Axle_Data[MDL Maximum Mass (t)], "Check inputs above", 0), "")
    )
)</f>
        <v>6.5</v>
      </c>
      <c r="H36" s="123" cm="1">
        <f t="array" ref="H36">IF(H27&lt;"", "",
    IF($O$27="Default", _xlfn.XLOOKUP(H27 &amp; H28 &amp; $L$14, Axle_Data[Axle Code] &amp; Axle_Data[Tyre Size] &amp; Axle_Data[Mass Scheme], Axle_Data[MDL Maximum Mass (t)], "Check inputs above", 0),
       IF($O$27="Manual entry", _xlfn.XLOOKUP(H29 &amp; $L$14, Axle_Data[Description (short)] &amp; Axle_Data[Mass Scheme], Axle_Data[MDL Maximum Mass (t)], "Check inputs above", 0), "")
    )
)</f>
        <v>16.5</v>
      </c>
      <c r="I36" s="123" cm="1">
        <f t="array" ref="I36">IF(I27&lt;"", "",
    IF($O$27="Default", _xlfn.XLOOKUP(I27 &amp; I28 &amp; $L$14, Axle_Data[Axle Code] &amp; Axle_Data[Tyre Size] &amp; Axle_Data[Mass Scheme], Axle_Data[MDL Maximum Mass (t)], "Check inputs above", 0),
       IF($O$27="Manual entry", _xlfn.XLOOKUP(I29 &amp; $L$14, Axle_Data[Description (short)] &amp; Axle_Data[Mass Scheme], Axle_Data[MDL Maximum Mass (t)], "Check inputs above", 0), "")
    )
)</f>
        <v>20</v>
      </c>
      <c r="J36" s="123" t="str" cm="1">
        <f t="array" ref="J36">IF(J27&lt;"", "",
    IF($O$27="Default", _xlfn.XLOOKUP(J27 &amp; J28 &amp; $L$14, Axle_Data[Axle Code] &amp; Axle_Data[Tyre Size] &amp; Axle_Data[Mass Scheme], Axle_Data[MDL Maximum Mass (t)], "Check inputs above", 0),
       IF($O$27="Manual entry", _xlfn.XLOOKUP(J29 &amp; $L$14, Axle_Data[Description (short)] &amp; Axle_Data[Mass Scheme], Axle_Data[MDL Maximum Mass (t)], "Check inputs above", 0), "")
    )
)</f>
        <v/>
      </c>
      <c r="K36" s="123" t="str" cm="1">
        <f t="array" ref="K36">IF(K27&lt;"", "",
    IF($O$27="Default", _xlfn.XLOOKUP(K27 &amp; K28 &amp; $L$14, Axle_Data[Axle Code] &amp; Axle_Data[Tyre Size] &amp; Axle_Data[Mass Scheme], Axle_Data[MDL Maximum Mass (t)], "Check inputs above", 0),
       IF($O$27="Manual entry", _xlfn.XLOOKUP(K29 &amp; $L$14, Axle_Data[Description (short)] &amp; Axle_Data[Mass Scheme], Axle_Data[MDL Maximum Mass (t)], "Check inputs above", 0), "")
    )
)</f>
        <v/>
      </c>
      <c r="L36" s="123" t="str" cm="1">
        <f t="array" ref="L36">IF(L27&lt;"", "",
    IF($O$27="Default", _xlfn.XLOOKUP(L27 &amp; L28 &amp; $L$14, Axle_Data[Axle Code] &amp; Axle_Data[Tyre Size] &amp; Axle_Data[Mass Scheme], Axle_Data[MDL Maximum Mass (t)], "Check inputs above", 0),
       IF($O$27="Manual entry", _xlfn.XLOOKUP(L29 &amp; $L$14, Axle_Data[Description (short)] &amp; Axle_Data[Mass Scheme], Axle_Data[MDL Maximum Mass (t)], "Check inputs above", 0), "")
    )
)</f>
        <v/>
      </c>
      <c r="M36" s="123" t="str" cm="1">
        <f t="array" ref="M36">IF(M27&lt;"", "",
    IF($O$27="Default", _xlfn.XLOOKUP(M27 &amp; M28 &amp; $L$14, Axle_Data[Axle Code] &amp; Axle_Data[Tyre Size] &amp; Axle_Data[Mass Scheme], Axle_Data[MDL Maximum Mass (t)], "Check inputs above", 0),
       IF($O$27="Manual entry", _xlfn.XLOOKUP(M29 &amp; $L$14, Axle_Data[Description (short)] &amp; Axle_Data[Mass Scheme], Axle_Data[MDL Maximum Mass (t)], "Check inputs above", 0), "")
    )
)</f>
        <v/>
      </c>
      <c r="N36" s="314"/>
      <c r="O36" s="348" t="str">
        <f>IF(O29="Default","Default values are calculated from axle masses proportionally adjusted to equal the GCM. May not accurately represent real-world conditions. Manual input recommended.","Please ensure the sum of user adjusted mass inputs equals the GCM. The value in the brackets (refer left) indicates if mass change required.")</f>
        <v>Default values are calculated from axle masses proportionally adjusted to equal the GCM. May not accurately represent real-world conditions. Manual input recommended.</v>
      </c>
      <c r="P36" s="348"/>
      <c r="Q36" s="125"/>
      <c r="R36" s="18"/>
      <c r="S36" s="18"/>
      <c r="T36" s="323"/>
      <c r="U36" s="306" t="s">
        <v>235</v>
      </c>
      <c r="V36" s="306"/>
      <c r="W36" s="306"/>
      <c r="X36" s="145" cm="1">
        <f t="array" ref="X36">IF(X27&lt;"", "",
    IF($AF$27="Default", _xlfn.XLOOKUP(X27 &amp; X28 &amp; $AC$14, Axle_Data[Axle Code] &amp; Axle_Data[Tyre Size] &amp; Axle_Data[Mass Scheme], Axle_Data[MDL Maximum Mass (t)], "Check inputs above", 0),
       IF($AF$27="Manual entry", _xlfn.XLOOKUP(X29 &amp; $AC$14, Axle_Data[Description (short)] &amp; Axle_Data[Mass Scheme], Axle_Data[MDL Maximum Mass (t)], "Check inputs above", 0), "")
    )
)</f>
        <v>6.5</v>
      </c>
      <c r="Y36" s="145" cm="1">
        <f t="array" ref="Y36">IF(Y27&lt;"", "",
    IF($AF$27="Default", _xlfn.XLOOKUP(Y27 &amp; Y28 &amp; $AC$14, Axle_Data[Axle Code] &amp; Axle_Data[Tyre Size] &amp; Axle_Data[Mass Scheme], Axle_Data[MDL Maximum Mass (t)], "Check inputs above", 0),
       IF($AF$27="Manual entry", _xlfn.XLOOKUP(Y29 &amp; $AC$14, Axle_Data[Description (short)] &amp; Axle_Data[Mass Scheme], Axle_Data[MDL Maximum Mass (t)], "Check inputs above", 0), "")
    )
)</f>
        <v>17</v>
      </c>
      <c r="Z36" s="145" cm="1">
        <f t="array" ref="Z36">IF(Z27&lt;"", "",
    IF($AF$27="Default", _xlfn.XLOOKUP(Z27 &amp; Z28 &amp; $AC$14, Axle_Data[Axle Code] &amp; Axle_Data[Tyre Size] &amp; Axle_Data[Mass Scheme], Axle_Data[MDL Maximum Mass (t)], "Check inputs above", 0),
       IF($AF$27="Manual entry", _xlfn.XLOOKUP(Z29 &amp; $AC$14, Axle_Data[Description (short)] &amp; Axle_Data[Mass Scheme], Axle_Data[MDL Maximum Mass (t)], "Check inputs above", 0), "")
    )
)</f>
        <v>22.5</v>
      </c>
      <c r="AA36" s="145" cm="1">
        <f t="array" ref="AA36">IF(AA27&lt;"", "",
    IF($AF$27="Default", _xlfn.XLOOKUP(AA27 &amp; AA28 &amp; $AC$14, Axle_Data[Axle Code] &amp; Axle_Data[Tyre Size] &amp; Axle_Data[Mass Scheme], Axle_Data[MDL Maximum Mass (t)], "Check inputs above", 0),
       IF($AF$27="Manual entry", _xlfn.XLOOKUP(AA29 &amp; $AC$14, Axle_Data[Description (short)] &amp; Axle_Data[Mass Scheme], Axle_Data[MDL Maximum Mass (t)], "Check inputs above", 0), "")
    )
)</f>
        <v>22.5</v>
      </c>
      <c r="AB36" s="145" cm="1">
        <f t="array" ref="AB36">IF(AB27&lt;"", "",
    IF($AF$27="Default", _xlfn.XLOOKUP(AB27 &amp; AB28 &amp; $AC$14, Axle_Data[Axle Code] &amp; Axle_Data[Tyre Size] &amp; Axle_Data[Mass Scheme], Axle_Data[MDL Maximum Mass (t)], "Check inputs above", 0),
       IF($AF$27="Manual entry", _xlfn.XLOOKUP(AB29 &amp; $AC$14, Axle_Data[Description (short)] &amp; Axle_Data[Mass Scheme], Axle_Data[MDL Maximum Mass (t)], "Check inputs above", 0), "")
    )
)</f>
        <v>22.5</v>
      </c>
      <c r="AC36" s="145" t="str" cm="1">
        <f t="array" ref="AC36">IF(AC27&lt;"", "",
    IF($AF$27="Default", _xlfn.XLOOKUP(AC27 &amp; AC28 &amp; $AC$14, Axle_Data[Axle Code] &amp; Axle_Data[Tyre Size] &amp; Axle_Data[Mass Scheme], Axle_Data[MDL Maximum Mass (t)], "Check inputs above", 0),
       IF($AF$27="Manual entry", _xlfn.XLOOKUP(AC29 &amp; $AC$14, Axle_Data[Description (short)] &amp; Axle_Data[Mass Scheme], Axle_Data[MDL Maximum Mass (t)], "Check inputs above", 0), "")
    )
)</f>
        <v/>
      </c>
      <c r="AD36" s="145" t="str" cm="1">
        <f t="array" ref="AD36">IF(AD27&lt;"", "",
    IF($AF$27="Default", _xlfn.XLOOKUP(AD27 &amp; AD28 &amp; $AC$14, Axle_Data[Axle Code] &amp; Axle_Data[Tyre Size] &amp; Axle_Data[Mass Scheme], Axle_Data[MDL Maximum Mass (t)], "Check inputs above", 0),
       IF($AF$27="Manual entry", _xlfn.XLOOKUP(AD29 &amp; $AC$14, Axle_Data[Description (short)] &amp; Axle_Data[Mass Scheme], Axle_Data[MDL Maximum Mass (t)], "Check inputs above", 0), "")
    )
)</f>
        <v/>
      </c>
      <c r="AE36" s="314"/>
      <c r="AF36" s="348" t="str">
        <f>IF(AF29="Default","Default values are calculated from axle masses proportionally adjusted to equal the GCM. May not accurately represent real-world conditions. Manual input recommended.","Please ensure the sum of user adjusted mass inputs equals the GCM. The value in the brackets (refer left) indicates if mass change required.")</f>
        <v>Default values are calculated from axle masses proportionally adjusted to equal the GCM. May not accurately represent real-world conditions. Manual input recommended.</v>
      </c>
      <c r="AG36" s="348"/>
      <c r="AH36" s="119"/>
      <c r="AJ36" s="417"/>
      <c r="AK36" s="417"/>
      <c r="AL36" s="417"/>
      <c r="AM36" s="417"/>
      <c r="AN36" s="417"/>
      <c r="AO36" s="417"/>
      <c r="AP36" s="417"/>
      <c r="AQ36" s="417"/>
      <c r="AR36" s="417"/>
      <c r="AS36" s="244"/>
      <c r="AT36" s="244"/>
    </row>
    <row r="37" spans="1:52" ht="19.5" customHeight="1" thickBot="1" x14ac:dyDescent="0.4">
      <c r="A37" s="303"/>
      <c r="C37" s="323"/>
      <c r="D37" s="306" t="s">
        <v>248</v>
      </c>
      <c r="E37" s="306"/>
      <c r="F37" s="306"/>
      <c r="G37" s="123">
        <f>IF($O$29="Default",_xlfn.XLOOKUP($AK$13,Mass_Data[Unique ID],Mass_Data[Corrected axle group 1 mass],"",0),"")</f>
        <v>6.4244186046511631</v>
      </c>
      <c r="H37" s="123">
        <f>IF($O$29="Default",_xlfn.XLOOKUP($AK$13,Mass_Data[Unique ID],Mass_Data[Corrected axle group 2 mass],"",0),"")</f>
        <v>16.308139534883722</v>
      </c>
      <c r="I37" s="123">
        <f>IF($O$29="Default",_xlfn.XLOOKUP($AK$13,Mass_Data[Unique ID],Mass_Data[Corrected axle group 3 mass],"",0),"")</f>
        <v>19.767441860465116</v>
      </c>
      <c r="J37" s="123" t="str">
        <f>IF($O$29="Default",_xlfn.XLOOKUP($AK$13,Mass_Data[Unique ID],Mass_Data[Corrected axle group 4 mass],"",0),"")</f>
        <v/>
      </c>
      <c r="K37" s="123" t="str">
        <f>IF($O$29="Default",_xlfn.XLOOKUP($AK$13,Mass_Data[Unique ID],Mass_Data[Corrected axle group 5 mass],"",0),"")</f>
        <v/>
      </c>
      <c r="L37" s="123" t="str">
        <f>IF($O$29="Default",_xlfn.XLOOKUP($AK$13,Mass_Data[Unique ID],Mass_Data[Corrected axle group 6 mass],"",0),"")</f>
        <v/>
      </c>
      <c r="M37" s="123" t="str">
        <f>IF($O$29="Default",_xlfn.XLOOKUP($AK$13,Mass_Data[Unique ID],Mass_Data[Corrected axle group 7 mass],"",0),"")</f>
        <v/>
      </c>
      <c r="N37" s="314" t="str">
        <f>IF(O29="Default",CONCATENATE(SUM(G37:M37),"t"," (",ROUND(G18-SUM(G37:M37),1),"t)"),CONCATENATE(SUM(G38:M38),"t"," (",ROUND(G18-SUM(G38:M38),1),"t)"))</f>
        <v>42.5t (0t)</v>
      </c>
      <c r="O37" s="348"/>
      <c r="P37" s="348"/>
      <c r="Q37" s="125"/>
      <c r="R37" s="18"/>
      <c r="S37" s="18"/>
      <c r="T37" s="323"/>
      <c r="U37" s="306" t="s">
        <v>248</v>
      </c>
      <c r="V37" s="306"/>
      <c r="W37" s="306"/>
      <c r="X37" s="123">
        <f>IF($AF$29="Default",_xlfn.XLOOKUP($AO$13,Mass_Data[Unique ID],Mass_Data[Corrected axle group 1 mass],"",0),"")</f>
        <v>6.0714285714285712</v>
      </c>
      <c r="Y37" s="123">
        <f>IF($AF$29="Default",_xlfn.XLOOKUP($AO$13,Mass_Data[Unique ID],Mass_Data[Corrected axle group 2 mass],"",0),"")</f>
        <v>15.87912087912088</v>
      </c>
      <c r="Z37" s="123">
        <f>IF($AF$29="Default",_xlfn.XLOOKUP($AO$13,Mass_Data[Unique ID],Mass_Data[Corrected axle group 3 mass],"",0),"")</f>
        <v>21.016483516483518</v>
      </c>
      <c r="AA37" s="123">
        <f>IF($AF$29="Default",_xlfn.XLOOKUP($AO$13,Mass_Data[Unique ID],Mass_Data[Corrected axle group 4 mass],"",0),"")</f>
        <v>21.016483516483518</v>
      </c>
      <c r="AB37" s="123">
        <f>IF($AF$29="Default",_xlfn.XLOOKUP($AO$13,Mass_Data[Unique ID],Mass_Data[Corrected axle group 5 mass],"",0),"")</f>
        <v>21.016483516483518</v>
      </c>
      <c r="AC37" s="123" t="str">
        <f>IF($AF$29="Default",_xlfn.XLOOKUP($AO$13,Mass_Data[Unique ID],Mass_Data[Corrected axle group 6 mass],"",0),"")</f>
        <v/>
      </c>
      <c r="AD37" s="123" t="str">
        <f>IF($AF$29="Default",_xlfn.XLOOKUP($AO$13,Mass_Data[Unique ID],Mass_Data[Corrected axle group 7 mass],"",0),"")</f>
        <v/>
      </c>
      <c r="AE37" s="314" t="str">
        <f>IF(AF29="Default",CONCATENATE(SUM(X37:AD37),"t"," (",ROUND(X18-SUM(X37:AD37),1),"t)"),CONCATENATE(SUM(X38:AD38),"t"," (",ROUND(X18-SUM(X38:AD38),1),"t)"))</f>
        <v>85t (0t)</v>
      </c>
      <c r="AF37" s="348"/>
      <c r="AG37" s="348"/>
      <c r="AH37" s="122"/>
      <c r="AJ37" s="37"/>
      <c r="AK37" s="37"/>
      <c r="AL37" s="37"/>
      <c r="AM37" s="37"/>
      <c r="AN37" s="37"/>
      <c r="AO37" s="418" t="s">
        <v>383</v>
      </c>
      <c r="AP37" s="418"/>
      <c r="AQ37" s="418"/>
      <c r="AR37" s="37"/>
    </row>
    <row r="38" spans="1:52" ht="19.5" customHeight="1" thickBot="1" x14ac:dyDescent="0.4">
      <c r="A38" s="303"/>
      <c r="C38" s="323"/>
      <c r="D38" s="306" t="s">
        <v>231</v>
      </c>
      <c r="E38" s="306"/>
      <c r="F38" s="325"/>
      <c r="G38" s="172"/>
      <c r="H38" s="172"/>
      <c r="I38" s="172"/>
      <c r="J38" s="172"/>
      <c r="K38" s="172"/>
      <c r="L38" s="172"/>
      <c r="M38" s="172"/>
      <c r="N38" s="314"/>
      <c r="O38" s="348"/>
      <c r="P38" s="348"/>
      <c r="Q38" s="125"/>
      <c r="R38" s="18"/>
      <c r="S38" s="18"/>
      <c r="T38" s="323"/>
      <c r="U38" s="306" t="s">
        <v>231</v>
      </c>
      <c r="V38" s="306"/>
      <c r="W38" s="325"/>
      <c r="X38" s="172"/>
      <c r="Y38" s="172"/>
      <c r="Z38" s="172"/>
      <c r="AA38" s="172"/>
      <c r="AB38" s="172"/>
      <c r="AC38" s="172"/>
      <c r="AD38" s="172"/>
      <c r="AE38" s="314"/>
      <c r="AF38" s="348"/>
      <c r="AG38" s="348"/>
      <c r="AH38" s="124"/>
      <c r="AJ38" s="37"/>
      <c r="AK38" s="223" t="s">
        <v>350</v>
      </c>
      <c r="AL38" s="37"/>
      <c r="AM38" s="37"/>
      <c r="AN38" s="37"/>
      <c r="AO38" s="418"/>
      <c r="AP38" s="418"/>
      <c r="AQ38" s="418"/>
      <c r="AR38" s="37"/>
    </row>
    <row r="39" spans="1:52" ht="19.5" customHeight="1" thickBot="1" x14ac:dyDescent="0.4">
      <c r="A39" s="303"/>
      <c r="C39" s="324"/>
      <c r="D39" s="126"/>
      <c r="E39" s="127"/>
      <c r="F39" s="128"/>
      <c r="G39" s="129" t="str" cm="1">
        <f t="array" ref="G39">IF(G36="","",IF($O$29="Manual entry",_xlfn.IFS(AND(G36="", G38=""), "",AND(G36&lt;&gt;"", G38=""), "^ Enter value",AND(G36="", G38&lt;&gt;""),"^ Remove value",AND(G36&lt;&gt;"", G38&lt;&gt;""),""),"^ Leave blank"))</f>
        <v>^ Leave blank</v>
      </c>
      <c r="H39" s="129" t="str" cm="1">
        <f t="array" ref="H39">IF(H36="","",IF($O$29="Manual entry",_xlfn.IFS(AND(H36="", H38=""), "",AND(H36&lt;&gt;"", H38=""), "^ Enter value",AND(H36="", H38&lt;&gt;""),"^ Remove value",AND(H36&lt;&gt;"", H38&lt;&gt;""),""),"^ Leave blank"))</f>
        <v>^ Leave blank</v>
      </c>
      <c r="I39" s="129" t="str" cm="1">
        <f t="array" ref="I39">IF(I36="","",IF($O$29="Manual entry",_xlfn.IFS(AND(I36="", I38=""), "",AND(I36&lt;&gt;"", I38=""), "^ Enter value",AND(I36="", I38&lt;&gt;""),"^ Remove value",AND(I36&lt;&gt;"", I38&lt;&gt;""),""),"^ Leave blank"))</f>
        <v>^ Leave blank</v>
      </c>
      <c r="J39" s="129" t="str" cm="1">
        <f t="array" ref="J39">IF(J36="","",IF($O$29="Manual entry",_xlfn.IFS(AND(J36="", J38=""), "",AND(J36&lt;&gt;"", J38=""), "^ Enter value",AND(J36="", J38&lt;&gt;""),"^ Remove value",AND(J36&lt;&gt;"", J38&lt;&gt;""),""),"^ Leave blank"))</f>
        <v/>
      </c>
      <c r="K39" s="129" t="str" cm="1">
        <f t="array" ref="K39">IF(K36="","",IF($O$29="Manual entry",_xlfn.IFS(AND(K36="", K38=""), "",AND(K36&lt;&gt;"", K38=""), "^ Enter value",AND(K36="", K38&lt;&gt;""),"^ Remove value",AND(K36&lt;&gt;"", K38&lt;&gt;""),""),"^ Leave blank"))</f>
        <v/>
      </c>
      <c r="L39" s="129" t="str" cm="1">
        <f t="array" ref="L39">IF(L36="","",IF($O$29="Manual entry",_xlfn.IFS(AND(L36="", L38=""), "",AND(L36&lt;&gt;"", L38=""), "^ Enter value",AND(L36="", L38&lt;&gt;""),"^ Remove value",AND(L36&lt;&gt;"", L38&lt;&gt;""),""),"^ Leave blank"))</f>
        <v/>
      </c>
      <c r="M39" s="129" t="str" cm="1">
        <f t="array" ref="M39">IF(M36="","",IF($O$29="Manual entry",_xlfn.IFS(AND(M36="", M38=""), "",AND(M36&lt;&gt;"", M38=""), "^ Enter value",AND(M36="", M38&lt;&gt;""),"^ Remove value",AND(M36&lt;&gt;"", M38&lt;&gt;""),""),"^ Leave blank"))</f>
        <v/>
      </c>
      <c r="N39" s="97"/>
      <c r="O39" s="349"/>
      <c r="P39" s="349"/>
      <c r="Q39" s="130"/>
      <c r="R39" s="18"/>
      <c r="S39" s="18"/>
      <c r="T39" s="324"/>
      <c r="U39" s="126"/>
      <c r="V39" s="127"/>
      <c r="W39" s="128"/>
      <c r="X39" s="129" t="str" cm="1">
        <f t="array" ref="X39">IF(X36="","",IF($AF$29="Manual entry",_xlfn.IFS(AND(X36="", X38=""), "",AND(X36&lt;&gt;"", X38=""), "^ Enter value",AND(X36="", X38&lt;&gt;""),"^ Remove value",AND(X36&lt;&gt;"", X38&lt;&gt;""),""),"^ Leave blank"))</f>
        <v>^ Leave blank</v>
      </c>
      <c r="Y39" s="129" t="str" cm="1">
        <f t="array" ref="Y39">IF(Y36="","",IF($AF$29="Manual entry",_xlfn.IFS(AND(Y36="", Y38=""), "",AND(Y36&lt;&gt;"", Y38=""), "^ Enter value",AND(Y36="", Y38&lt;&gt;""),"^ Remove value",AND(Y36&lt;&gt;"", Y38&lt;&gt;""),""),"^ Leave blank"))</f>
        <v>^ Leave blank</v>
      </c>
      <c r="Z39" s="129" t="str" cm="1">
        <f t="array" ref="Z39">IF(Z36="","",IF($AF$29="Manual entry",_xlfn.IFS(AND(Z36="", Z38=""), "",AND(Z36&lt;&gt;"", Z38=""), "^ Enter value",AND(Z36="", Z38&lt;&gt;""),"^ Remove value",AND(Z36&lt;&gt;"", Z38&lt;&gt;""),""),"^ Leave blank"))</f>
        <v>^ Leave blank</v>
      </c>
      <c r="AA39" s="129" t="str" cm="1">
        <f t="array" ref="AA39">IF(AA36="","",IF($AF$29="Manual entry",_xlfn.IFS(AND(AA36="", AA38=""), "",AND(AA36&lt;&gt;"", AA38=""), "^ Enter value",AND(AA36="", AA38&lt;&gt;""),"^ Remove value",AND(AA36&lt;&gt;"", AA38&lt;&gt;""),""),"^ Leave blank"))</f>
        <v>^ Leave blank</v>
      </c>
      <c r="AB39" s="129" t="str" cm="1">
        <f t="array" ref="AB39">IF(AB36="","",IF($AF$29="Manual entry",_xlfn.IFS(AND(AB36="", AB38=""), "",AND(AB36&lt;&gt;"", AB38=""), "^ Enter value",AND(AB36="", AB38&lt;&gt;""),"^ Remove value",AND(AB36&lt;&gt;"", AB38&lt;&gt;""),""),"^ Leave blank"))</f>
        <v>^ Leave blank</v>
      </c>
      <c r="AC39" s="129" t="str" cm="1">
        <f t="array" ref="AC39">IF(AC36="","",IF($AF$29="Manual entry",_xlfn.IFS(AND(AC36="", AC38=""), "",AND(AC36&lt;&gt;"", AC38=""), "^ Enter value",AND(AC36="", AC38&lt;&gt;""),"^ Remove value",AND(AC36&lt;&gt;"", AC38&lt;&gt;""),""),"^ Leave blank"))</f>
        <v/>
      </c>
      <c r="AD39" s="129" t="str" cm="1">
        <f t="array" ref="AD39">IF(AD36="","",IF($AF$29="Manual entry",_xlfn.IFS(AND(AD36="", AD38=""), "",AND(AD36&lt;&gt;"", AD38=""), "^ Enter value",AND(AD36="", AD38&lt;&gt;""),"^ Remove value",AND(AD36&lt;&gt;"", AD38&lt;&gt;""),""),"^ Leave blank"))</f>
        <v/>
      </c>
      <c r="AE39" s="97"/>
      <c r="AF39" s="349"/>
      <c r="AG39" s="349"/>
      <c r="AH39" s="130"/>
      <c r="AJ39" s="37"/>
      <c r="AK39" s="224" t="s">
        <v>348</v>
      </c>
      <c r="AL39" s="225" t="s">
        <v>349</v>
      </c>
      <c r="AM39" s="226" t="s">
        <v>351</v>
      </c>
      <c r="AN39" s="37"/>
      <c r="AO39" s="388" t="str">
        <f>IF(OR(AO41="QLD",AO41="Manual entry"),"","ERROR: No costs exist, please select manual entry")</f>
        <v/>
      </c>
      <c r="AP39" s="388"/>
      <c r="AQ39" s="37"/>
      <c r="AR39" s="37"/>
    </row>
    <row r="40" spans="1:52" ht="19.5" customHeight="1" thickBot="1" x14ac:dyDescent="0.4">
      <c r="A40" s="355"/>
      <c r="B40" s="148"/>
      <c r="C40" s="148"/>
      <c r="D40" s="148"/>
      <c r="E40" s="149"/>
      <c r="F40" s="149"/>
      <c r="G40" s="149"/>
      <c r="H40" s="149"/>
      <c r="I40" s="149"/>
      <c r="J40" s="149"/>
      <c r="K40" s="149"/>
      <c r="L40" s="149"/>
      <c r="M40" s="149"/>
      <c r="N40" s="149"/>
      <c r="O40" s="149"/>
      <c r="P40" s="149"/>
      <c r="Q40" s="149"/>
      <c r="R40" s="18"/>
      <c r="S40" s="18"/>
      <c r="T40" s="149"/>
      <c r="U40" s="149"/>
      <c r="V40" s="150"/>
      <c r="W40" s="150"/>
      <c r="X40" s="150"/>
      <c r="Y40" s="150"/>
      <c r="Z40" s="150"/>
      <c r="AA40" s="150"/>
      <c r="AB40" s="150"/>
      <c r="AC40" s="151"/>
      <c r="AD40" s="151"/>
      <c r="AE40" s="151"/>
      <c r="AF40" s="151"/>
      <c r="AG40" s="151"/>
      <c r="AH40" s="151"/>
      <c r="AJ40" s="37"/>
      <c r="AK40" s="365" t="s">
        <v>418</v>
      </c>
      <c r="AL40" s="365"/>
      <c r="AM40" s="365" t="s">
        <v>393</v>
      </c>
      <c r="AN40" s="365"/>
      <c r="AO40" s="388"/>
      <c r="AP40" s="388"/>
      <c r="AQ40" s="420" t="s">
        <v>420</v>
      </c>
      <c r="AR40" s="37"/>
    </row>
    <row r="41" spans="1:52" ht="19.5" customHeight="1" thickTop="1" thickBot="1" x14ac:dyDescent="0.4">
      <c r="A41" s="302" t="s">
        <v>368</v>
      </c>
      <c r="B41" s="24"/>
      <c r="C41" s="24"/>
      <c r="D41" s="24"/>
      <c r="E41" s="17"/>
      <c r="F41" s="18"/>
      <c r="G41" s="18"/>
      <c r="H41" s="18"/>
      <c r="I41" s="18"/>
      <c r="J41" s="18"/>
      <c r="K41" s="18"/>
      <c r="L41" s="18"/>
      <c r="M41" s="18"/>
      <c r="N41" s="18"/>
      <c r="O41" s="18"/>
      <c r="P41" s="18"/>
      <c r="Q41" s="18"/>
      <c r="R41" s="18"/>
      <c r="S41" s="18"/>
      <c r="T41" s="17"/>
      <c r="U41" s="18"/>
      <c r="V41" s="18"/>
      <c r="W41" s="18"/>
      <c r="X41" s="18"/>
      <c r="Y41" s="18"/>
      <c r="Z41" s="18"/>
      <c r="AA41" s="18"/>
      <c r="AB41" s="18"/>
      <c r="AC41" s="18"/>
      <c r="AD41" s="18"/>
      <c r="AE41" s="18"/>
      <c r="AF41" s="18"/>
      <c r="AG41" s="18"/>
      <c r="AH41" s="18"/>
      <c r="AJ41" s="37"/>
      <c r="AK41" s="365"/>
      <c r="AL41" s="365"/>
      <c r="AM41" s="365"/>
      <c r="AN41" s="365"/>
      <c r="AO41" s="385" t="s">
        <v>93</v>
      </c>
      <c r="AP41" s="387" t="s">
        <v>245</v>
      </c>
      <c r="AQ41" s="420"/>
      <c r="AR41" s="37"/>
    </row>
    <row r="42" spans="1:52" ht="19.5" customHeight="1" thickBot="1" x14ac:dyDescent="0.4">
      <c r="A42" s="303"/>
      <c r="B42" s="24"/>
      <c r="C42" s="86"/>
      <c r="D42" s="312" t="str">
        <f>IF(OR(AND(O27="Manual entry",G29=""),AND(O29="Manual entry",G38="")),"ERROR: Please check the inputs above. If 'manual entry' is selected within the control box, ensure that all relevant inputs are filled in.","")</f>
        <v/>
      </c>
      <c r="E42" s="312"/>
      <c r="F42" s="109"/>
      <c r="G42" s="311" t="s">
        <v>82</v>
      </c>
      <c r="H42" s="311"/>
      <c r="I42" s="311"/>
      <c r="J42" s="311"/>
      <c r="K42" s="311"/>
      <c r="L42" s="311"/>
      <c r="M42" s="311"/>
      <c r="N42" s="109"/>
      <c r="O42" s="109"/>
      <c r="P42" s="109"/>
      <c r="Q42" s="110"/>
      <c r="R42" s="18"/>
      <c r="S42" s="18"/>
      <c r="T42" s="142"/>
      <c r="U42" s="312" t="str">
        <f>IF(OR(AND(AF27="Manual entry",X29=""),AND(AF29="Manual entry",X38="")),"ERROR: Please check the inputs above. If 'manual entry' is selected within the control box, ensure that all relevant inputs are filled in.","")</f>
        <v/>
      </c>
      <c r="V42" s="312"/>
      <c r="W42" s="109"/>
      <c r="X42" s="311" t="s">
        <v>82</v>
      </c>
      <c r="Y42" s="311"/>
      <c r="Z42" s="311"/>
      <c r="AA42" s="311"/>
      <c r="AB42" s="311"/>
      <c r="AC42" s="311"/>
      <c r="AD42" s="311"/>
      <c r="AE42" s="109"/>
      <c r="AF42" s="109"/>
      <c r="AG42" s="109"/>
      <c r="AH42" s="110"/>
      <c r="AJ42" s="37"/>
      <c r="AK42" s="220" t="s">
        <v>144</v>
      </c>
      <c r="AL42" s="221" t="s">
        <v>145</v>
      </c>
      <c r="AM42" s="220" t="s">
        <v>144</v>
      </c>
      <c r="AN42" s="243" t="s">
        <v>145</v>
      </c>
      <c r="AO42" s="386"/>
      <c r="AP42" s="387"/>
      <c r="AQ42" s="263" t="s">
        <v>419</v>
      </c>
      <c r="AR42" s="37"/>
      <c r="AY42" s="234"/>
      <c r="AZ42" s="235"/>
    </row>
    <row r="43" spans="1:52" ht="19.5" customHeight="1" x14ac:dyDescent="0.35">
      <c r="A43" s="303"/>
      <c r="B43" s="24"/>
      <c r="C43" s="91"/>
      <c r="D43" s="313"/>
      <c r="E43" s="313"/>
      <c r="F43" s="131" t="s">
        <v>146</v>
      </c>
      <c r="G43" s="111">
        <v>1</v>
      </c>
      <c r="H43" s="111">
        <v>2</v>
      </c>
      <c r="I43" s="111">
        <v>3</v>
      </c>
      <c r="J43" s="111">
        <v>4</v>
      </c>
      <c r="K43" s="111">
        <v>5</v>
      </c>
      <c r="L43" s="111">
        <v>6</v>
      </c>
      <c r="M43" s="111">
        <v>7</v>
      </c>
      <c r="N43" s="132"/>
      <c r="O43" s="341" t="s">
        <v>259</v>
      </c>
      <c r="P43" s="341"/>
      <c r="Q43" s="133"/>
      <c r="R43" s="18"/>
      <c r="S43" s="18"/>
      <c r="T43" s="146"/>
      <c r="U43" s="313"/>
      <c r="V43" s="313"/>
      <c r="W43" s="131" t="s">
        <v>146</v>
      </c>
      <c r="X43" s="111">
        <v>1</v>
      </c>
      <c r="Y43" s="111">
        <v>2</v>
      </c>
      <c r="Z43" s="111">
        <v>3</v>
      </c>
      <c r="AA43" s="111">
        <v>4</v>
      </c>
      <c r="AB43" s="111">
        <v>5</v>
      </c>
      <c r="AC43" s="111">
        <v>6</v>
      </c>
      <c r="AD43" s="111">
        <v>7</v>
      </c>
      <c r="AE43" s="132"/>
      <c r="AF43" s="341" t="s">
        <v>259</v>
      </c>
      <c r="AG43" s="341"/>
      <c r="AH43" s="133"/>
      <c r="AJ43" s="362" t="s">
        <v>82</v>
      </c>
      <c r="AK43" s="356">
        <f>IF($O$31="Default",$O$32/O44,$O$33/O44)</f>
        <v>4.6577445913953035</v>
      </c>
      <c r="AL43" s="358">
        <f>IF($AF$31="Default",$AF$32/AF44,$AF$33/AF44)</f>
        <v>7.7337425423638191</v>
      </c>
      <c r="AM43" s="367" cm="1">
        <f t="array" ref="AM43">_xlfn.IFS(AND($AO$41="QLD",$O$31="Default"),(100/$O$32)*($O44*$AO43),
AND($AO$41="Manual entry",$O$31="Default"),(100/$O$32)*($O44*$AO44),
AND($AO$41="Manual entry",$O$31="Manual entry"),(100/$O$33)*($O44*$AO44),
AND($AO$41="QLD",$O$31="Manual entry"),(100/$O$33)*($O44*$AO43))</f>
        <v>0</v>
      </c>
      <c r="AN43" s="368" cm="1">
        <f t="array" ref="AN43">_xlfn.IFS(AND($AO$41="QLD",$AF$31="Default"),(100/$AF$32)*($AF44*$AO43),
AND($AO$41="Manual entry",$AF$31="Default"),(100/$AF$32)*($AF44*$AO44),
AND($AO$41="Manual entry",$AF$31="Manual entry"),(100/$AF$33)*($AF44*$AO44),
AND($AO$41="QLD",$AF$31="Manual entry"),(100/$AF$33)*($AF44*$AO43))</f>
        <v>0</v>
      </c>
      <c r="AO43" s="152">
        <f>'Escalated values'!I6</f>
        <v>0.16222261174408414</v>
      </c>
      <c r="AP43" s="227" t="str">
        <f>IF($AO$41="QLD","&lt; TMR, 2018a","")</f>
        <v/>
      </c>
      <c r="AQ43" s="419" cm="1">
        <f t="array" ref="AQ43">(_xlfn.IFS(AND($AF$31="Default"),(100/$AF$32)*$AF44,
AND($AF$31="Manual entry"),(100/$AF$33)*$AF44))/(_xlfn.IFS(AND($O$31="Default"),(100/$O$32)*$O44,
AND($O$31="Manual entry"),(100/$O$33)*$O44))</f>
        <v>0.60226269052546766</v>
      </c>
      <c r="AR43" s="37"/>
      <c r="AZ43" s="235"/>
    </row>
    <row r="44" spans="1:52" ht="19.5" customHeight="1" x14ac:dyDescent="0.35">
      <c r="A44" s="303"/>
      <c r="B44" s="24"/>
      <c r="C44" s="91"/>
      <c r="D44" s="313"/>
      <c r="E44" s="313"/>
      <c r="F44" s="131" t="s">
        <v>375</v>
      </c>
      <c r="G44" s="134">
        <f t="shared" ref="G44:M44" si="4">IFERROR(IF($O$29="Default",
    IF($L$14&lt;&gt;"HML", (G$37/G$35)^4,
        IF(G$33="No", (G$37/G$35)^4,
            (G$37/G$35)^4/G$32
        )
    ),
    IF($O$29="Manual entry",
        IF($L$14&lt;&gt;"HML", (G$38/G$35)^4,
            IF(G$33="No", (G$38/G$35)^4,
                (G$38/G$35)^4/G$32
            )
        ),
        ""
    )
),"")</f>
        <v>1.9967079557476928</v>
      </c>
      <c r="H44" s="134">
        <f t="shared" si="4"/>
        <v>1.969542256800503</v>
      </c>
      <c r="I44" s="134">
        <f t="shared" si="4"/>
        <v>1.2870607043350817</v>
      </c>
      <c r="J44" s="134" t="str">
        <f t="shared" si="4"/>
        <v/>
      </c>
      <c r="K44" s="134" t="str">
        <f t="shared" si="4"/>
        <v/>
      </c>
      <c r="L44" s="134" t="str">
        <f t="shared" si="4"/>
        <v/>
      </c>
      <c r="M44" s="134" t="str">
        <f t="shared" si="4"/>
        <v/>
      </c>
      <c r="N44" s="135"/>
      <c r="O44" s="318">
        <f>SUM(G44:M44)</f>
        <v>5.2533109168832777</v>
      </c>
      <c r="P44" s="344"/>
      <c r="Q44" s="136"/>
      <c r="R44" s="18"/>
      <c r="S44" s="18"/>
      <c r="T44" s="146"/>
      <c r="U44" s="313"/>
      <c r="V44" s="313"/>
      <c r="W44" s="131" t="s">
        <v>375</v>
      </c>
      <c r="X44" s="134">
        <f t="shared" ref="X44:AD44" si="5">IFERROR(IF($AF$29="Default",
    IF($AC$14&lt;&gt;"HML", (X$37/X$35)^4,
        IF(X$33="No", (X$37/X$35)^4,
            (X$37/X$35)^4/X$32
        )
    ),
    IF($AF$29="Manual entry",
        IF($AC$14&lt;&gt;"HML", (X$38/X$35)^4,
            IF(X$33="No", (X$38/X$35)^4,
                (X$38/X$35)^4/X$32
            )
        ),
        ""
    )
),"")</f>
        <v>1.5927322874174243</v>
      </c>
      <c r="Y44" s="134">
        <f t="shared" si="5"/>
        <v>1.4162614513733804</v>
      </c>
      <c r="Z44" s="134">
        <f t="shared" si="5"/>
        <v>1.3704276433950571</v>
      </c>
      <c r="AA44" s="134">
        <f t="shared" si="5"/>
        <v>1.3704276433950571</v>
      </c>
      <c r="AB44" s="134">
        <f t="shared" si="5"/>
        <v>1.3704276433950571</v>
      </c>
      <c r="AC44" s="134" t="str">
        <f t="shared" si="5"/>
        <v/>
      </c>
      <c r="AD44" s="134" t="str">
        <f t="shared" si="5"/>
        <v/>
      </c>
      <c r="AE44" s="135"/>
      <c r="AF44" s="318">
        <f>SUM(X44:AD44)</f>
        <v>7.1202766689759773</v>
      </c>
      <c r="AG44" s="318"/>
      <c r="AH44" s="136"/>
      <c r="AJ44" s="362"/>
      <c r="AK44" s="356"/>
      <c r="AL44" s="358"/>
      <c r="AM44" s="367"/>
      <c r="AN44" s="368"/>
      <c r="AO44" s="228"/>
      <c r="AP44" s="229" t="str" cm="1">
        <f t="array" ref="AP44">_xlfn.IFS($AO$41="Manual entry", "&lt; Enter value ($/km)",$AO$41="QLD", "&lt; Leave blank", $AO$39="ERROR: No costs exist, please select manual entry", "&lt; ERROR")</f>
        <v>&lt; Enter value ($/km)</v>
      </c>
      <c r="AQ44" s="419"/>
      <c r="AR44" s="37"/>
      <c r="AZ44" s="236"/>
    </row>
    <row r="45" spans="1:52" ht="19.5" customHeight="1" x14ac:dyDescent="0.35">
      <c r="A45" s="303"/>
      <c r="B45" s="24"/>
      <c r="C45" s="91"/>
      <c r="D45" s="24"/>
      <c r="E45" s="17"/>
      <c r="F45" s="18"/>
      <c r="G45" s="18"/>
      <c r="H45" s="18"/>
      <c r="I45" s="18"/>
      <c r="J45" s="18"/>
      <c r="K45" s="18"/>
      <c r="L45" s="18"/>
      <c r="M45" s="18"/>
      <c r="N45" s="137"/>
      <c r="O45" s="158"/>
      <c r="P45" s="158"/>
      <c r="Q45" s="138"/>
      <c r="R45" s="18"/>
      <c r="S45" s="18"/>
      <c r="T45" s="146"/>
      <c r="V45" s="363" t="s">
        <v>381</v>
      </c>
      <c r="W45" s="363"/>
      <c r="X45" s="160">
        <f>IFERROR((X44-G44)/G44,"")</f>
        <v>-0.20232085877526071</v>
      </c>
      <c r="Y45" s="160">
        <f t="shared" ref="Y45" si="6">IFERROR((Y44-H44)/H44,"")</f>
        <v>-0.28091847408540521</v>
      </c>
      <c r="Z45" s="160">
        <f t="shared" ref="Z45" si="7">IFERROR((Z44-I44)/I44,"")</f>
        <v>6.4773121251529647E-2</v>
      </c>
      <c r="AA45" s="160" t="str">
        <f t="shared" ref="AA45" si="8">IFERROR((AA44-J44)/J44,"")</f>
        <v/>
      </c>
      <c r="AB45" s="160" t="str">
        <f t="shared" ref="AB45" si="9">IFERROR((AB44-K44)/K44,"")</f>
        <v/>
      </c>
      <c r="AC45" s="160" t="str">
        <f t="shared" ref="AC45" si="10">IFERROR((AC44-L44)/L44,"")</f>
        <v/>
      </c>
      <c r="AD45" s="160" t="str">
        <f t="shared" ref="AD45" si="11">IFERROR((AD44-M44)/M44,"")</f>
        <v/>
      </c>
      <c r="AE45" s="155"/>
      <c r="AF45" s="351">
        <f>IFERROR((AF44-O44)/O44,"")</f>
        <v>0.35538839821807972</v>
      </c>
      <c r="AG45" s="351"/>
      <c r="AH45" s="138"/>
      <c r="AJ45" s="230"/>
      <c r="AK45" s="361" t="str">
        <f>IF(AND(O31="Manual entry",O33=""),"ERROR: Check maximum payload value.","")</f>
        <v/>
      </c>
      <c r="AL45" s="360" t="str">
        <f>IF(AND(AF31="Manual entry",AF33=""),"ERROR: Check maximum payload value.","")</f>
        <v/>
      </c>
      <c r="AM45" s="241"/>
      <c r="AN45" s="242"/>
      <c r="AO45" s="37"/>
      <c r="AP45" s="37"/>
      <c r="AQ45" s="37"/>
      <c r="AR45" s="37"/>
      <c r="AZ45" s="236"/>
    </row>
    <row r="46" spans="1:52" ht="19.5" customHeight="1" x14ac:dyDescent="0.35">
      <c r="A46" s="303"/>
      <c r="B46" s="24"/>
      <c r="C46" s="91"/>
      <c r="D46" s="24"/>
      <c r="E46" s="17"/>
      <c r="F46" s="18"/>
      <c r="G46" s="307" t="s">
        <v>79</v>
      </c>
      <c r="H46" s="307"/>
      <c r="I46" s="307"/>
      <c r="J46" s="307"/>
      <c r="K46" s="307"/>
      <c r="L46" s="307"/>
      <c r="M46" s="307"/>
      <c r="N46" s="137"/>
      <c r="O46" s="158"/>
      <c r="P46" s="158"/>
      <c r="Q46" s="138"/>
      <c r="R46" s="18"/>
      <c r="S46" s="18"/>
      <c r="T46" s="146"/>
      <c r="V46" s="17"/>
      <c r="W46" s="18"/>
      <c r="X46" s="307" t="s">
        <v>79</v>
      </c>
      <c r="Y46" s="307"/>
      <c r="Z46" s="307"/>
      <c r="AA46" s="307"/>
      <c r="AB46" s="307"/>
      <c r="AC46" s="307"/>
      <c r="AD46" s="307"/>
      <c r="AE46" s="18"/>
      <c r="AF46" s="158"/>
      <c r="AG46" s="158"/>
      <c r="AH46" s="138"/>
      <c r="AJ46" s="230"/>
      <c r="AK46" s="361"/>
      <c r="AL46" s="360"/>
      <c r="AM46" s="241"/>
      <c r="AN46" s="242"/>
      <c r="AO46" s="37"/>
      <c r="AP46" s="37"/>
      <c r="AQ46" s="37"/>
      <c r="AR46" s="37"/>
      <c r="AZ46" s="237"/>
    </row>
    <row r="47" spans="1:52" ht="19.5" customHeight="1" x14ac:dyDescent="0.35">
      <c r="A47" s="303"/>
      <c r="B47" s="24"/>
      <c r="C47" s="91"/>
      <c r="D47" s="24"/>
      <c r="E47" s="305" t="s">
        <v>146</v>
      </c>
      <c r="F47" s="305"/>
      <c r="G47" s="111">
        <v>1</v>
      </c>
      <c r="H47" s="111">
        <v>2</v>
      </c>
      <c r="I47" s="111">
        <v>3</v>
      </c>
      <c r="J47" s="111">
        <v>4</v>
      </c>
      <c r="K47" s="111">
        <v>5</v>
      </c>
      <c r="L47" s="111">
        <v>6</v>
      </c>
      <c r="M47" s="111">
        <v>7</v>
      </c>
      <c r="N47" s="132"/>
      <c r="O47" s="341" t="s">
        <v>344</v>
      </c>
      <c r="P47" s="341"/>
      <c r="Q47" s="133"/>
      <c r="R47" s="18"/>
      <c r="S47" s="18"/>
      <c r="T47" s="146"/>
      <c r="V47" s="305" t="s">
        <v>146</v>
      </c>
      <c r="W47" s="305"/>
      <c r="X47" s="111">
        <v>1</v>
      </c>
      <c r="Y47" s="111">
        <v>2</v>
      </c>
      <c r="Z47" s="111">
        <v>3</v>
      </c>
      <c r="AA47" s="111">
        <v>4</v>
      </c>
      <c r="AB47" s="111">
        <v>5</v>
      </c>
      <c r="AC47" s="111">
        <v>6</v>
      </c>
      <c r="AD47" s="111">
        <v>7</v>
      </c>
      <c r="AE47" s="132"/>
      <c r="AF47" s="341" t="s">
        <v>344</v>
      </c>
      <c r="AG47" s="341"/>
      <c r="AH47" s="133"/>
      <c r="AJ47" s="362" t="s">
        <v>79</v>
      </c>
      <c r="AK47" s="356">
        <f>IF($O$31="Default",$O$32/O48,$O$33/O48)</f>
        <v>4.6577445913953035</v>
      </c>
      <c r="AL47" s="358">
        <f>IF($AF$31="Default",$AF$32/AF48,$AF$33/AF48)</f>
        <v>7.7337425423638191</v>
      </c>
      <c r="AM47" s="367" cm="1">
        <f t="array" ref="AM47">_xlfn.IFS(AND($AO$41="QLD",$O$31="Default"),(100/$O$32)*($O48*$AO47),
AND($AO$41="Manual entry",$O$31="Default"),(100/$O$32)*($O48*$AO48),
AND($AO$41="Manual entry",$O$31="Manual entry"),(100/$O$33)*($O48*$AO48),
AND($AO$41="QLD",$O$31="Manual entry"),(100/$O$33)*($O48*$AO47))</f>
        <v>0</v>
      </c>
      <c r="AN47" s="368" cm="1">
        <f t="array" ref="AN47">_xlfn.IFS(AND($AO$41="QLD",$AF$31="Default"),(100/$AF$32)*($AF48*$AO47),
AND($AO$41="Manual entry",$AF$31="Default"),(100/$AF$32)*($AF48*$AO48),
AND($AO$41="Manual entry",$AF$31="Manual entry"),(100/$AF$33)*($AF48*$AO48),
AND($AO$41="QLD",$AF$31="Manual entry"),(100/$AF$33)*($AF48*$AO47))</f>
        <v>0</v>
      </c>
      <c r="AO47" s="152">
        <f>'Escalated values'!I6</f>
        <v>0.16222261174408414</v>
      </c>
      <c r="AP47" s="227" t="str">
        <f>IF($AO$41="QLD","&lt; TMR, 2018a","")</f>
        <v/>
      </c>
      <c r="AQ47" s="419" cm="1">
        <f t="array" ref="AQ47">(_xlfn.IFS(AND($AF$31="Default"),(100/$AF$32)*$AF48,
AND($AF$31="Manual entry"),(100/$AF$33)*$AF48))/(_xlfn.IFS(AND($O$31="Default"),(100/$O$32)*$O48,
AND($O$31="Manual entry"),(100/$O$33)*$O48))</f>
        <v>0.60226269052546766</v>
      </c>
      <c r="AR47" s="37"/>
      <c r="AZ47" s="237"/>
    </row>
    <row r="48" spans="1:52" ht="19.5" customHeight="1" x14ac:dyDescent="0.35">
      <c r="A48" s="303"/>
      <c r="B48" s="24"/>
      <c r="C48" s="91"/>
      <c r="D48" s="24"/>
      <c r="E48" s="305" t="s">
        <v>376</v>
      </c>
      <c r="F48" s="305"/>
      <c r="G48" s="134">
        <f t="shared" ref="G48:M48" si="12">IFERROR(IF($O$29="Default",
    IF($L$14&lt;&gt;"HML", (G$37/G$35)^4,
        IF(G$33="No", (G$37/G$35)^4,
            (G$37/G$35)^4/G$32
        )
    ),
    IF($O$29="Manual entry",
        IF($L$14&lt;&gt;"HML", (G$38/G$35)^4,
            IF(G$33="No", (G$38/G$35)^4,
                (G$38/G$35)^4/G$32
            )
        ),
        ""
    )
),"")</f>
        <v>1.9967079557476928</v>
      </c>
      <c r="H48" s="134">
        <f t="shared" si="12"/>
        <v>1.969542256800503</v>
      </c>
      <c r="I48" s="134">
        <f t="shared" si="12"/>
        <v>1.2870607043350817</v>
      </c>
      <c r="J48" s="134" t="str">
        <f t="shared" si="12"/>
        <v/>
      </c>
      <c r="K48" s="134" t="str">
        <f t="shared" si="12"/>
        <v/>
      </c>
      <c r="L48" s="134" t="str">
        <f t="shared" si="12"/>
        <v/>
      </c>
      <c r="M48" s="134" t="str">
        <f t="shared" si="12"/>
        <v/>
      </c>
      <c r="N48" s="135"/>
      <c r="O48" s="318">
        <f>SUM(G48:M48)</f>
        <v>5.2533109168832777</v>
      </c>
      <c r="P48" s="344"/>
      <c r="Q48" s="136"/>
      <c r="R48" s="18"/>
      <c r="S48" s="18"/>
      <c r="T48" s="146"/>
      <c r="V48" s="305" t="s">
        <v>376</v>
      </c>
      <c r="W48" s="305"/>
      <c r="X48" s="134">
        <f t="shared" ref="X48:AD48" si="13">IFERROR(IF($AF$29="Default",
    IF($AC$14&lt;&gt;"HML", (X$37/X$35)^4,
        IF(X$33="No", (X$37/X$35)^4,
            (X$37/X$35)^4/X$32
        )
    ),
    IF($AF$29="Manual entry",
        IF($AC$14&lt;&gt;"HML", (X$38/X$35)^4,
            IF(X$33="No", (X$38/X$35)^4,
                (X$38/X$35)^4/X$32
            )
        ),
        ""
    )
),"")</f>
        <v>1.5927322874174243</v>
      </c>
      <c r="Y48" s="134">
        <f t="shared" si="13"/>
        <v>1.4162614513733804</v>
      </c>
      <c r="Z48" s="134">
        <f t="shared" si="13"/>
        <v>1.3704276433950571</v>
      </c>
      <c r="AA48" s="134">
        <f t="shared" si="13"/>
        <v>1.3704276433950571</v>
      </c>
      <c r="AB48" s="134">
        <f t="shared" si="13"/>
        <v>1.3704276433950571</v>
      </c>
      <c r="AC48" s="134" t="str">
        <f t="shared" si="13"/>
        <v/>
      </c>
      <c r="AD48" s="134" t="str">
        <f t="shared" si="13"/>
        <v/>
      </c>
      <c r="AE48" s="135"/>
      <c r="AF48" s="318">
        <f>SUM(X48:AD48)</f>
        <v>7.1202766689759773</v>
      </c>
      <c r="AG48" s="318"/>
      <c r="AH48" s="136"/>
      <c r="AJ48" s="362"/>
      <c r="AK48" s="356"/>
      <c r="AL48" s="358"/>
      <c r="AM48" s="367"/>
      <c r="AN48" s="368"/>
      <c r="AO48" s="228"/>
      <c r="AP48" s="229" t="str" cm="1">
        <f t="array" ref="AP48">_xlfn.IFS($AO$41="Manual entry", "&lt; Enter value ($/km)",$AO$41="QLD", "&lt; Leave blank", $AO$39="ERROR: No costs exist, please select manual entry", "&lt; ERROR")</f>
        <v>&lt; Enter value ($/km)</v>
      </c>
      <c r="AQ48" s="419"/>
      <c r="AR48" s="37"/>
      <c r="AZ48" s="236"/>
    </row>
    <row r="49" spans="1:52" ht="19.5" customHeight="1" x14ac:dyDescent="0.35">
      <c r="A49" s="303"/>
      <c r="B49" s="24"/>
      <c r="C49" s="91"/>
      <c r="D49" s="24"/>
      <c r="E49" s="17"/>
      <c r="F49" s="18"/>
      <c r="G49" s="18"/>
      <c r="H49" s="18"/>
      <c r="I49" s="18"/>
      <c r="J49" s="18"/>
      <c r="K49" s="18"/>
      <c r="L49" s="18"/>
      <c r="M49" s="18"/>
      <c r="N49" s="137"/>
      <c r="O49" s="18"/>
      <c r="P49" s="18"/>
      <c r="Q49" s="138"/>
      <c r="R49" s="18"/>
      <c r="S49" s="18"/>
      <c r="T49" s="146"/>
      <c r="V49" s="363" t="s">
        <v>381</v>
      </c>
      <c r="W49" s="363"/>
      <c r="X49" s="160">
        <f>IFERROR((X48-G48)/G48,"")</f>
        <v>-0.20232085877526071</v>
      </c>
      <c r="Y49" s="160">
        <f t="shared" ref="Y49" si="14">IFERROR((Y48-H48)/H48,"")</f>
        <v>-0.28091847408540521</v>
      </c>
      <c r="Z49" s="160">
        <f t="shared" ref="Z49" si="15">IFERROR((Z48-I48)/I48,"")</f>
        <v>6.4773121251529647E-2</v>
      </c>
      <c r="AA49" s="160" t="str">
        <f t="shared" ref="AA49" si="16">IFERROR((AA48-J48)/J48,"")</f>
        <v/>
      </c>
      <c r="AB49" s="160" t="str">
        <f t="shared" ref="AB49" si="17">IFERROR((AB48-K48)/K48,"")</f>
        <v/>
      </c>
      <c r="AC49" s="160" t="str">
        <f t="shared" ref="AC49" si="18">IFERROR((AC48-L48)/L48,"")</f>
        <v/>
      </c>
      <c r="AD49" s="160" t="str">
        <f t="shared" ref="AD49" si="19">IFERROR((AD48-M48)/M48,"")</f>
        <v/>
      </c>
      <c r="AE49" s="155"/>
      <c r="AF49" s="351">
        <f>IFERROR((AF48-O48)/O48,"")</f>
        <v>0.35538839821807972</v>
      </c>
      <c r="AG49" s="351"/>
      <c r="AH49" s="138"/>
      <c r="AJ49" s="230"/>
      <c r="AK49" s="241"/>
      <c r="AL49" s="242"/>
      <c r="AM49" s="241"/>
      <c r="AN49" s="242"/>
      <c r="AO49" s="37"/>
      <c r="AP49" s="37"/>
      <c r="AQ49" s="37"/>
      <c r="AR49" s="37"/>
      <c r="AZ49" s="236"/>
    </row>
    <row r="50" spans="1:52" ht="19.5" customHeight="1" x14ac:dyDescent="0.35">
      <c r="A50" s="303"/>
      <c r="B50" s="24"/>
      <c r="C50" s="91"/>
      <c r="D50" s="24"/>
      <c r="E50" s="17"/>
      <c r="F50" s="18"/>
      <c r="G50" s="307" t="s">
        <v>80</v>
      </c>
      <c r="H50" s="307"/>
      <c r="I50" s="307"/>
      <c r="J50" s="307"/>
      <c r="K50" s="307"/>
      <c r="L50" s="307"/>
      <c r="M50" s="307"/>
      <c r="N50" s="137"/>
      <c r="O50" s="18"/>
      <c r="P50" s="18"/>
      <c r="Q50" s="138"/>
      <c r="R50" s="18"/>
      <c r="S50" s="18"/>
      <c r="T50" s="146"/>
      <c r="V50" s="17"/>
      <c r="W50" s="18"/>
      <c r="X50" s="307" t="s">
        <v>80</v>
      </c>
      <c r="Y50" s="307"/>
      <c r="Z50" s="307"/>
      <c r="AA50" s="307"/>
      <c r="AB50" s="307"/>
      <c r="AC50" s="307"/>
      <c r="AD50" s="307"/>
      <c r="AE50" s="18"/>
      <c r="AF50" s="18"/>
      <c r="AG50" s="18"/>
      <c r="AH50" s="138"/>
      <c r="AJ50" s="230"/>
      <c r="AK50" s="241"/>
      <c r="AL50" s="242"/>
      <c r="AM50" s="241"/>
      <c r="AN50" s="242"/>
      <c r="AO50" s="37"/>
      <c r="AP50" s="37"/>
      <c r="AQ50" s="37"/>
      <c r="AR50" s="37"/>
      <c r="AZ50" s="237"/>
    </row>
    <row r="51" spans="1:52" ht="19.5" customHeight="1" x14ac:dyDescent="0.35">
      <c r="A51" s="303"/>
      <c r="B51" s="24"/>
      <c r="C51" s="91"/>
      <c r="D51" s="24"/>
      <c r="E51" s="305" t="s">
        <v>146</v>
      </c>
      <c r="F51" s="305"/>
      <c r="G51" s="111">
        <v>1</v>
      </c>
      <c r="H51" s="111">
        <v>2</v>
      </c>
      <c r="I51" s="111">
        <v>3</v>
      </c>
      <c r="J51" s="111">
        <v>4</v>
      </c>
      <c r="K51" s="111">
        <v>5</v>
      </c>
      <c r="L51" s="111">
        <v>6</v>
      </c>
      <c r="M51" s="111">
        <v>7</v>
      </c>
      <c r="N51" s="132"/>
      <c r="O51" s="341" t="s">
        <v>345</v>
      </c>
      <c r="P51" s="341"/>
      <c r="Q51" s="133"/>
      <c r="R51" s="18"/>
      <c r="S51" s="18"/>
      <c r="T51" s="146"/>
      <c r="V51" s="305" t="s">
        <v>146</v>
      </c>
      <c r="W51" s="305"/>
      <c r="X51" s="111">
        <v>1</v>
      </c>
      <c r="Y51" s="111">
        <v>2</v>
      </c>
      <c r="Z51" s="111">
        <v>3</v>
      </c>
      <c r="AA51" s="111">
        <v>4</v>
      </c>
      <c r="AB51" s="111">
        <v>5</v>
      </c>
      <c r="AC51" s="111">
        <v>6</v>
      </c>
      <c r="AD51" s="111">
        <v>7</v>
      </c>
      <c r="AE51" s="132"/>
      <c r="AF51" s="341" t="s">
        <v>345</v>
      </c>
      <c r="AG51" s="341"/>
      <c r="AH51" s="133"/>
      <c r="AJ51" s="362" t="s">
        <v>80</v>
      </c>
      <c r="AK51" s="356">
        <f>IF($O$31="Default",$O$32/O52,$O$33/O52)</f>
        <v>4.0260105302042914</v>
      </c>
      <c r="AL51" s="358">
        <f>IF($AF$31="Default",$AF$32/AF52,$AF$33/AF52)</f>
        <v>6.8162935139385414</v>
      </c>
      <c r="AM51" s="367" cm="1">
        <f t="array" ref="AM51">_xlfn.IFS(AND($AO$41="QLD",$O$31="Default"),(100/$O$32)*($O52*$AO51),
AND($AO$41="Manual entry",$O$31="Default"),(100/$O$32)*($O52*$AO52),
AND($AO$41="Manual entry",$O$31="Manual entry"),(100/$O$33)*($O52*$AO52),
AND($AO$41="QLD",$O$31="Manual entry"),(100/$O$33)*($O52*$AO51))</f>
        <v>0</v>
      </c>
      <c r="AN51" s="368" cm="1">
        <f t="array" ref="AN51">_xlfn.IFS(AND($AO$41="QLD",$AF$31="Default"),(100/$AF$32)*($AF52*$AO51),
AND($AO$41="Manual entry",$AF$31="Default"),(100/$AF$32)*($AF52*$AO52),
AND($AO$41="Manual entry",$AF$31="Manual entry"),(100/$AF$33)*($AF52*$AO52),
AND($AO$41="QLD",$AF$31="Manual entry"),(100/$AF$33)*($AF52*$AO51))</f>
        <v>0</v>
      </c>
      <c r="AO51" s="152">
        <f>'Escalated values'!J6</f>
        <v>5.8090008764241897E-2</v>
      </c>
      <c r="AP51" s="227" t="str">
        <f>IF($AO$41="QLD","&lt; TMR, 2018a","")</f>
        <v/>
      </c>
      <c r="AQ51" s="419" cm="1">
        <f t="array" ref="AQ51">(_xlfn.IFS(AND($AF$31="Default"),(100/$AF$32)*$AF52,
AND($AF$31="Manual entry"),(100/$AF$33)*$AF52))/(_xlfn.IFS(AND($O$31="Default"),(100/$O$32)*$O52,
AND($O$31="Manual entry"),(100/$O$33)*$O52))</f>
        <v>0.59064512435850347</v>
      </c>
      <c r="AR51" s="37"/>
      <c r="AZ51" s="237"/>
    </row>
    <row r="52" spans="1:52" ht="19.5" customHeight="1" x14ac:dyDescent="0.35">
      <c r="A52" s="303"/>
      <c r="B52" s="24"/>
      <c r="C52" s="91"/>
      <c r="D52" s="24"/>
      <c r="E52" s="305" t="s">
        <v>377</v>
      </c>
      <c r="F52" s="305"/>
      <c r="G52" s="134">
        <f t="shared" ref="G52:M52" si="20">IFERROR(IF($O$29="Default",
    IF($L$14&lt;&gt;"HML", (G$37/G$35)^5,
        IF(G$33="No", (G$37/G$35)^5,
            (G$37/G$35)^5/G$32
        )
    ),
    IF($O$29="Manual entry",
        IF($L$14&lt;&gt;"HML", (G$38/G$35)^5,
            IF(G$33="No", (G$38/G$35)^5,
                (G$38/G$35)^5/G$32
            )
        ),
        ""
    )
),"")</f>
        <v>2.3735215842430457</v>
      </c>
      <c r="H52" s="134">
        <f t="shared" si="20"/>
        <v>2.3332250414334972</v>
      </c>
      <c r="I52" s="134">
        <f t="shared" si="20"/>
        <v>1.3708779424811031</v>
      </c>
      <c r="J52" s="134" t="str">
        <f t="shared" si="20"/>
        <v/>
      </c>
      <c r="K52" s="134" t="str">
        <f t="shared" si="20"/>
        <v/>
      </c>
      <c r="L52" s="134" t="str">
        <f t="shared" si="20"/>
        <v/>
      </c>
      <c r="M52" s="134" t="str">
        <f t="shared" si="20"/>
        <v/>
      </c>
      <c r="N52" s="135"/>
      <c r="O52" s="318">
        <f>SUM(G52:M52)</f>
        <v>6.0776245681576455</v>
      </c>
      <c r="P52" s="344"/>
      <c r="Q52" s="136"/>
      <c r="R52" s="18"/>
      <c r="S52" s="18"/>
      <c r="T52" s="146"/>
      <c r="V52" s="305" t="s">
        <v>377</v>
      </c>
      <c r="W52" s="305"/>
      <c r="X52" s="134">
        <f t="shared" ref="X52:AD52" si="21">IFERROR(IF($AF$29="Default",
    IF($AC$14&lt;&gt;"HML", (X$37/X$35)^5,
        IF(X$33="No", (X$37/X$35)^5,
            (X$37/X$35)^5/X$32
        )
    ),
    IF($AF$29="Manual entry",
        IF($AC$14&lt;&gt;"HML", (X$38/X$35)^5,
            IF(X$33="No", (X$38/X$35)^5,
                (X$38/X$35)^5/X$32
            )
        ),
        ""
    )
),"")</f>
        <v>1.7892807107008164</v>
      </c>
      <c r="Y52" s="134">
        <f t="shared" si="21"/>
        <v>1.6336416461981755</v>
      </c>
      <c r="Z52" s="134">
        <f t="shared" si="21"/>
        <v>1.5519061331166908</v>
      </c>
      <c r="AA52" s="134">
        <f t="shared" si="21"/>
        <v>1.5519061331166908</v>
      </c>
      <c r="AB52" s="134">
        <f t="shared" si="21"/>
        <v>1.5519061331166908</v>
      </c>
      <c r="AC52" s="134" t="str">
        <f t="shared" si="21"/>
        <v/>
      </c>
      <c r="AD52" s="134" t="str">
        <f t="shared" si="21"/>
        <v/>
      </c>
      <c r="AE52" s="135"/>
      <c r="AF52" s="318">
        <f>SUM(X52:AD52)</f>
        <v>8.0786407562490652</v>
      </c>
      <c r="AG52" s="318"/>
      <c r="AH52" s="136"/>
      <c r="AJ52" s="362"/>
      <c r="AK52" s="356"/>
      <c r="AL52" s="358"/>
      <c r="AM52" s="367"/>
      <c r="AN52" s="368"/>
      <c r="AO52" s="228"/>
      <c r="AP52" s="229" t="str" cm="1">
        <f t="array" ref="AP52">_xlfn.IFS($AO$41="Manual entry", "&lt; Enter value ($/km)",$AO$41="QLD", "&lt; Leave blank", $AO$39="ERROR: No costs exist, please select manual entry", "&lt; ERROR")</f>
        <v>&lt; Enter value ($/km)</v>
      </c>
      <c r="AQ52" s="419"/>
      <c r="AR52" s="37"/>
      <c r="AZ52" s="236"/>
    </row>
    <row r="53" spans="1:52" ht="19.5" customHeight="1" x14ac:dyDescent="0.35">
      <c r="A53" s="303"/>
      <c r="B53" s="24"/>
      <c r="C53" s="91"/>
      <c r="D53" s="24"/>
      <c r="E53" s="17"/>
      <c r="F53" s="18"/>
      <c r="G53" s="18"/>
      <c r="H53" s="18"/>
      <c r="I53" s="18"/>
      <c r="J53" s="18"/>
      <c r="K53" s="18"/>
      <c r="L53" s="18"/>
      <c r="M53" s="18"/>
      <c r="N53" s="137"/>
      <c r="O53" s="18"/>
      <c r="P53" s="18"/>
      <c r="Q53" s="138"/>
      <c r="R53" s="18"/>
      <c r="S53" s="18"/>
      <c r="T53" s="146"/>
      <c r="V53" s="363" t="s">
        <v>381</v>
      </c>
      <c r="W53" s="363"/>
      <c r="X53" s="160">
        <f>IFERROR((X52-G52)/G52,"")</f>
        <v>-0.24614938301837821</v>
      </c>
      <c r="Y53" s="160">
        <f t="shared" ref="Y53" si="22">IFERROR((Y52-H52)/H52,"")</f>
        <v>-0.29983537070453714</v>
      </c>
      <c r="Z53" s="160">
        <f t="shared" ref="Z53" si="23">IFERROR((Z52-I52)/I52,"")</f>
        <v>0.13205274155039015</v>
      </c>
      <c r="AA53" s="160" t="str">
        <f t="shared" ref="AA53" si="24">IFERROR((AA52-J52)/J52,"")</f>
        <v/>
      </c>
      <c r="AB53" s="160" t="str">
        <f t="shared" ref="AB53" si="25">IFERROR((AB52-K52)/K52,"")</f>
        <v/>
      </c>
      <c r="AC53" s="160" t="str">
        <f t="shared" ref="AC53" si="26">IFERROR((AC52-L52)/L52,"")</f>
        <v/>
      </c>
      <c r="AD53" s="160" t="str">
        <f t="shared" ref="AD53" si="27">IFERROR((AD52-M52)/M52,"")</f>
        <v/>
      </c>
      <c r="AE53" s="155"/>
      <c r="AF53" s="351">
        <f>IFERROR((AF52-O52)/O52,"")</f>
        <v>0.32924313860637205</v>
      </c>
      <c r="AG53" s="351"/>
      <c r="AH53" s="138"/>
      <c r="AJ53" s="230"/>
      <c r="AK53" s="241"/>
      <c r="AL53" s="242"/>
      <c r="AM53" s="241"/>
      <c r="AN53" s="242"/>
      <c r="AO53" s="37"/>
      <c r="AP53" s="37"/>
      <c r="AQ53" s="37"/>
      <c r="AR53" s="37"/>
      <c r="AZ53" s="236"/>
    </row>
    <row r="54" spans="1:52" ht="19.5" customHeight="1" x14ac:dyDescent="0.35">
      <c r="A54" s="303"/>
      <c r="B54" s="24"/>
      <c r="C54" s="91"/>
      <c r="D54" s="24"/>
      <c r="E54" s="17"/>
      <c r="F54" s="18"/>
      <c r="G54" s="307" t="s">
        <v>154</v>
      </c>
      <c r="H54" s="307"/>
      <c r="I54" s="307"/>
      <c r="J54" s="307"/>
      <c r="K54" s="307"/>
      <c r="L54" s="307"/>
      <c r="M54" s="307"/>
      <c r="N54" s="137"/>
      <c r="O54" s="18"/>
      <c r="P54" s="18"/>
      <c r="Q54" s="138"/>
      <c r="R54" s="18"/>
      <c r="S54" s="18"/>
      <c r="T54" s="146"/>
      <c r="V54" s="17"/>
      <c r="W54" s="18"/>
      <c r="X54" s="307" t="s">
        <v>154</v>
      </c>
      <c r="Y54" s="307"/>
      <c r="Z54" s="307"/>
      <c r="AA54" s="307"/>
      <c r="AB54" s="307"/>
      <c r="AC54" s="307"/>
      <c r="AD54" s="307"/>
      <c r="AE54" s="18"/>
      <c r="AF54" s="18"/>
      <c r="AG54" s="18"/>
      <c r="AH54" s="138"/>
      <c r="AJ54" s="230"/>
      <c r="AK54" s="241"/>
      <c r="AL54" s="242"/>
      <c r="AM54" s="241"/>
      <c r="AN54" s="242"/>
      <c r="AO54" s="37"/>
      <c r="AP54" s="37"/>
      <c r="AQ54" s="37"/>
      <c r="AR54" s="37"/>
      <c r="AZ54" s="237"/>
    </row>
    <row r="55" spans="1:52" ht="19.5" customHeight="1" x14ac:dyDescent="0.35">
      <c r="A55" s="303"/>
      <c r="B55" s="24"/>
      <c r="C55" s="91"/>
      <c r="D55" s="24"/>
      <c r="E55" s="305" t="s">
        <v>146</v>
      </c>
      <c r="F55" s="305"/>
      <c r="G55" s="111">
        <v>1</v>
      </c>
      <c r="H55" s="111">
        <v>2</v>
      </c>
      <c r="I55" s="111">
        <v>3</v>
      </c>
      <c r="J55" s="111">
        <v>4</v>
      </c>
      <c r="K55" s="111">
        <v>5</v>
      </c>
      <c r="L55" s="111">
        <v>6</v>
      </c>
      <c r="M55" s="111">
        <v>7</v>
      </c>
      <c r="N55" s="132"/>
      <c r="O55" s="341" t="s">
        <v>346</v>
      </c>
      <c r="P55" s="341"/>
      <c r="Q55" s="133"/>
      <c r="R55" s="18"/>
      <c r="S55" s="18"/>
      <c r="T55" s="146"/>
      <c r="V55" s="305" t="s">
        <v>146</v>
      </c>
      <c r="W55" s="305"/>
      <c r="X55" s="111">
        <v>1</v>
      </c>
      <c r="Y55" s="111">
        <v>2</v>
      </c>
      <c r="Z55" s="111">
        <v>3</v>
      </c>
      <c r="AA55" s="111">
        <v>4</v>
      </c>
      <c r="AB55" s="111">
        <v>5</v>
      </c>
      <c r="AC55" s="111">
        <v>6</v>
      </c>
      <c r="AD55" s="111">
        <v>7</v>
      </c>
      <c r="AE55" s="132"/>
      <c r="AF55" s="341" t="s">
        <v>346</v>
      </c>
      <c r="AG55" s="341"/>
      <c r="AH55" s="133"/>
      <c r="AJ55" s="362" t="s">
        <v>154</v>
      </c>
      <c r="AK55" s="356">
        <f>IF($O$31="Default",$O$32/O56,$O$33/O56)</f>
        <v>2.9899521185308249</v>
      </c>
      <c r="AL55" s="358">
        <f>IF($AF$31="Default",$AF$32/AF56,$AF$33/AF56)</f>
        <v>5.2937346077755052</v>
      </c>
      <c r="AM55" s="367" cm="1">
        <f t="array" ref="AM55">_xlfn.IFS(AND($AO$41="QLD",$O$31="Default"),(100/$O$32)*($O56*$AO55),
AND($AO$41="Manual entry",$O$31="Default"),(100/$O$32)*($O56*$AO56),
AND($AO$41="Manual entry",$O$31="Manual entry"),(100/$O$33)*($O56*$AO56),
AND($AO$41="QLD",$O$31="Manual entry"),(100/$O$33)*($O56*$AO55))</f>
        <v>0</v>
      </c>
      <c r="AN55" s="368" cm="1">
        <f t="array" ref="AN55">_xlfn.IFS(AND($AO$41="QLD",$AF$31="Default"),(100/$AF$32)*($AF56*$AO55),
AND($AO$41="Manual entry",$AF$31="Default"),(100/$AF$32)*($AF56*$AO56),
AND($AO$41="Manual entry",$AF$31="Manual entry"),(100/$AF$33)*($AF56*$AO56),
AND($AO$41="QLD",$AF$31="Manual entry"),(100/$AF$33)*($AF56*$AO55))</f>
        <v>0</v>
      </c>
      <c r="AO55" s="152"/>
      <c r="AP55" s="227" t="str">
        <f>IF($AO$41="QLD","&lt; TMR, 2018a","")</f>
        <v/>
      </c>
      <c r="AQ55" s="419" cm="1">
        <f t="array" ref="AQ55">(_xlfn.IFS(AND($AF$31="Default"),(100/$AF$32)*$AF56,
AND($AF$31="Manual entry"),(100/$AF$33)*$AF56))/(_xlfn.IFS(AND($O$31="Default"),(100/$O$32)*$O56,
AND($O$31="Manual entry"),(100/$O$33)*$O56))</f>
        <v>0.5648095985278796</v>
      </c>
      <c r="AR55" s="37"/>
      <c r="AZ55" s="237"/>
    </row>
    <row r="56" spans="1:52" ht="19.5" customHeight="1" x14ac:dyDescent="0.35">
      <c r="A56" s="303"/>
      <c r="B56" s="24"/>
      <c r="C56" s="91"/>
      <c r="D56" s="24"/>
      <c r="E56" s="305" t="s">
        <v>378</v>
      </c>
      <c r="F56" s="305"/>
      <c r="G56" s="134">
        <f t="shared" ref="G56:M56" si="28">IFERROR(IF($O$29="Default",
    IF($L$14&lt;&gt;"HML", (G$37/G$35)^7,
        IF(G$33="No", (G$37/G$35)^7,
            (G$37/G$35)^7/G$32
        )
    ),
    IF($O$29="Manual entry",
        IF($L$14&lt;&gt;"HML", (G$38/G$35)^7,
            IF(G$33="No", (G$38/G$35)^7,
                (G$38/G$35)^7/G$32
            )
        ),
        ""
    )
),"")</f>
        <v>3.3539027036762787</v>
      </c>
      <c r="H56" s="134">
        <f t="shared" si="28"/>
        <v>3.2744569151275722</v>
      </c>
      <c r="I56" s="134">
        <f t="shared" si="28"/>
        <v>1.5552431748268836</v>
      </c>
      <c r="J56" s="134" t="str">
        <f t="shared" si="28"/>
        <v/>
      </c>
      <c r="K56" s="134" t="str">
        <f t="shared" si="28"/>
        <v/>
      </c>
      <c r="L56" s="134" t="str">
        <f t="shared" si="28"/>
        <v/>
      </c>
      <c r="M56" s="134" t="str">
        <f t="shared" si="28"/>
        <v/>
      </c>
      <c r="N56" s="135"/>
      <c r="O56" s="318">
        <f>SUM(G56:M56)</f>
        <v>8.1836027936307332</v>
      </c>
      <c r="P56" s="344"/>
      <c r="Q56" s="136"/>
      <c r="R56" s="18"/>
      <c r="S56" s="18"/>
      <c r="T56" s="146"/>
      <c r="V56" s="305" t="s">
        <v>378</v>
      </c>
      <c r="W56" s="305"/>
      <c r="X56" s="134">
        <f t="shared" ref="X56:AD56" si="29">IFERROR(IF($AF$29="Default",
    IF($AC$14&lt;&gt;"HML", (X$37/X$35)^7,
        IF(X$33="No", (X$37/X$35)^7,
            (X$37/X$35)^7/X$32
        )
    ),
    IF($AF$29="Manual entry",
        IF($AC$14&lt;&gt;"HML", (X$38/X$35)^7,
            IF(X$33="No", (X$38/X$35)^7,
                (X$38/X$35)^7/X$32
            )
        ),
        ""
    )
),"")</f>
        <v>2.2581348435858071</v>
      </c>
      <c r="Y56" s="134">
        <f t="shared" si="29"/>
        <v>2.173619492181269</v>
      </c>
      <c r="Z56" s="134">
        <f t="shared" si="29"/>
        <v>1.9901422864070077</v>
      </c>
      <c r="AA56" s="134">
        <f t="shared" si="29"/>
        <v>1.9901422864070077</v>
      </c>
      <c r="AB56" s="134">
        <f t="shared" si="29"/>
        <v>1.9901422864070077</v>
      </c>
      <c r="AC56" s="134" t="str">
        <f t="shared" si="29"/>
        <v/>
      </c>
      <c r="AD56" s="134" t="str">
        <f t="shared" si="29"/>
        <v/>
      </c>
      <c r="AE56" s="135"/>
      <c r="AF56" s="318">
        <f>SUM(X56:AD56)</f>
        <v>10.402181194988099</v>
      </c>
      <c r="AG56" s="318"/>
      <c r="AH56" s="136"/>
      <c r="AJ56" s="362"/>
      <c r="AK56" s="356"/>
      <c r="AL56" s="358"/>
      <c r="AM56" s="367"/>
      <c r="AN56" s="368"/>
      <c r="AO56" s="228"/>
      <c r="AP56" s="229" t="str" cm="1">
        <f t="array" ref="AP56">_xlfn.IFS($AO$41="Manual entry", "&lt; Enter value ($/km)",$AO$41="QLD", "&lt; Leave blank", $AO$39="ERROR: No costs exist, please select manual entry", "&lt; ERROR")</f>
        <v>&lt; Enter value ($/km)</v>
      </c>
      <c r="AQ56" s="419"/>
      <c r="AR56" s="37"/>
      <c r="AZ56" s="236"/>
    </row>
    <row r="57" spans="1:52" ht="19.5" customHeight="1" x14ac:dyDescent="0.35">
      <c r="A57" s="303"/>
      <c r="B57" s="24"/>
      <c r="C57" s="91"/>
      <c r="D57" s="24"/>
      <c r="E57" s="17"/>
      <c r="F57" s="18"/>
      <c r="G57" s="18"/>
      <c r="H57" s="18"/>
      <c r="I57" s="18"/>
      <c r="J57" s="18"/>
      <c r="K57" s="18"/>
      <c r="L57" s="18"/>
      <c r="M57" s="18"/>
      <c r="N57" s="137"/>
      <c r="O57" s="18"/>
      <c r="P57" s="18"/>
      <c r="Q57" s="138"/>
      <c r="R57" s="18"/>
      <c r="S57" s="18"/>
      <c r="T57" s="146"/>
      <c r="V57" s="363" t="s">
        <v>381</v>
      </c>
      <c r="W57" s="363"/>
      <c r="X57" s="160">
        <f>IFERROR((X56-G56)/G56,"")</f>
        <v>-0.32671426600699505</v>
      </c>
      <c r="Y57" s="160">
        <f t="shared" ref="Y57" si="30">IFERROR((Y56-H56)/H56,"")</f>
        <v>-0.33618931367231464</v>
      </c>
      <c r="Z57" s="160">
        <f t="shared" ref="Z57" si="31">IFERROR((Z56-I56)/I56,"")</f>
        <v>0.2796341553651463</v>
      </c>
      <c r="AA57" s="160" t="str">
        <f t="shared" ref="AA57" si="32">IFERROR((AA56-J56)/J56,"")</f>
        <v/>
      </c>
      <c r="AB57" s="160" t="str">
        <f t="shared" ref="AB57" si="33">IFERROR((AB56-K56)/K56,"")</f>
        <v/>
      </c>
      <c r="AC57" s="160" t="str">
        <f t="shared" ref="AC57" si="34">IFERROR((AC56-L56)/L56,"")</f>
        <v/>
      </c>
      <c r="AD57" s="160" t="str">
        <f t="shared" ref="AD57" si="35">IFERROR((AD56-M56)/M56,"")</f>
        <v/>
      </c>
      <c r="AE57" s="155"/>
      <c r="AF57" s="351">
        <f>IFERROR((AF56-O56)/O56,"")</f>
        <v>0.27110045016897411</v>
      </c>
      <c r="AG57" s="351"/>
      <c r="AH57" s="138"/>
      <c r="AJ57" s="230"/>
      <c r="AK57" s="241"/>
      <c r="AL57" s="242"/>
      <c r="AM57" s="241"/>
      <c r="AN57" s="242"/>
      <c r="AO57" s="37"/>
      <c r="AP57" s="37"/>
      <c r="AQ57" s="37"/>
      <c r="AR57" s="37"/>
      <c r="AZ57" s="236"/>
    </row>
    <row r="58" spans="1:52" ht="19.5" customHeight="1" x14ac:dyDescent="0.35">
      <c r="A58" s="303"/>
      <c r="B58" s="24"/>
      <c r="C58" s="91"/>
      <c r="D58" s="24"/>
      <c r="E58" s="17"/>
      <c r="F58" s="18"/>
      <c r="G58" s="307" t="s">
        <v>81</v>
      </c>
      <c r="H58" s="307"/>
      <c r="I58" s="307"/>
      <c r="J58" s="307"/>
      <c r="K58" s="307"/>
      <c r="L58" s="307"/>
      <c r="M58" s="307"/>
      <c r="N58" s="137"/>
      <c r="O58" s="18"/>
      <c r="P58" s="18"/>
      <c r="Q58" s="138"/>
      <c r="R58" s="18"/>
      <c r="S58" s="18"/>
      <c r="T58" s="146"/>
      <c r="V58" s="17"/>
      <c r="W58" s="18"/>
      <c r="X58" s="307" t="s">
        <v>81</v>
      </c>
      <c r="Y58" s="307"/>
      <c r="Z58" s="307"/>
      <c r="AA58" s="307"/>
      <c r="AB58" s="307"/>
      <c r="AC58" s="307"/>
      <c r="AD58" s="307"/>
      <c r="AE58" s="18"/>
      <c r="AF58" s="18"/>
      <c r="AG58" s="18"/>
      <c r="AH58" s="138"/>
      <c r="AJ58" s="230"/>
      <c r="AK58" s="241"/>
      <c r="AL58" s="242"/>
      <c r="AM58" s="241"/>
      <c r="AN58" s="242"/>
      <c r="AO58" s="37"/>
      <c r="AP58" s="37"/>
      <c r="AQ58" s="37"/>
      <c r="AR58" s="37"/>
      <c r="AZ58" s="237"/>
    </row>
    <row r="59" spans="1:52" ht="19.5" customHeight="1" x14ac:dyDescent="0.35">
      <c r="A59" s="303"/>
      <c r="B59" s="24"/>
      <c r="C59" s="91"/>
      <c r="D59" s="24"/>
      <c r="E59" s="305" t="s">
        <v>146</v>
      </c>
      <c r="F59" s="305"/>
      <c r="G59" s="111">
        <v>1</v>
      </c>
      <c r="H59" s="111">
        <v>2</v>
      </c>
      <c r="I59" s="111">
        <v>3</v>
      </c>
      <c r="J59" s="111">
        <v>4</v>
      </c>
      <c r="K59" s="111">
        <v>5</v>
      </c>
      <c r="L59" s="111">
        <v>6</v>
      </c>
      <c r="M59" s="111">
        <v>7</v>
      </c>
      <c r="N59" s="132"/>
      <c r="O59" s="341" t="s">
        <v>347</v>
      </c>
      <c r="P59" s="341"/>
      <c r="Q59" s="133"/>
      <c r="R59" s="18"/>
      <c r="S59" s="18"/>
      <c r="T59" s="146"/>
      <c r="V59" s="305" t="s">
        <v>146</v>
      </c>
      <c r="W59" s="305"/>
      <c r="X59" s="111">
        <v>1</v>
      </c>
      <c r="Y59" s="111">
        <v>2</v>
      </c>
      <c r="Z59" s="111">
        <v>3</v>
      </c>
      <c r="AA59" s="111">
        <v>4</v>
      </c>
      <c r="AB59" s="111">
        <v>5</v>
      </c>
      <c r="AC59" s="111">
        <v>6</v>
      </c>
      <c r="AD59" s="111">
        <v>7</v>
      </c>
      <c r="AE59" s="132"/>
      <c r="AF59" s="341" t="s">
        <v>347</v>
      </c>
      <c r="AG59" s="341"/>
      <c r="AH59" s="133"/>
      <c r="AJ59" s="362" t="s">
        <v>81</v>
      </c>
      <c r="AK59" s="356">
        <f>IF($O$31="Default",$O$32/O60,$O$33/O60)</f>
        <v>1.3798600399445353</v>
      </c>
      <c r="AL59" s="358">
        <f>IF($AF$31="Default",$AF$32/AF60,$AF$33/AF60)</f>
        <v>2.8098346941310903</v>
      </c>
      <c r="AM59" s="367" cm="1">
        <f t="array" ref="AM59">_xlfn.IFS(AND($AO$41="QLD",$O$31="Default"),(100/$O$32)*($O60*$AO59),
AND($AO$41="Manual entry",$O$31="Default"),(100/$O$32)*($O60*$AO60),
AND($AO$41="Manual entry",$O$31="Manual entry"),(100/$O$33)*($O60*$AO60),
AND($AO$41="QLD",$O$31="Manual entry"),(100/$O$33)*($O60*$AO59))</f>
        <v>0</v>
      </c>
      <c r="AN59" s="368" cm="1">
        <f t="array" ref="AN59">_xlfn.IFS(AND($AO$41="QLD",$AF$31="Default"),(100/$AF$32)*($AF60*$AO59),
AND($AO$41="Manual entry",$AF$31="Default"),(100/$AF$32)*($AF60*$AO60),
AND($AO$41="Manual entry",$AF$31="Manual entry"),(100/$AF$33)*($AF60*$AO60),
AND($AO$41="QLD",$AF$31="Manual entry"),(100/$AF$33)*($AF60*$AO59))</f>
        <v>0</v>
      </c>
      <c r="AO59" s="152">
        <f>'Escalated values'!K6</f>
        <v>4.40148115687993E-2</v>
      </c>
      <c r="AP59" s="227" t="str">
        <f>IF($AO$41="QLD","&lt; TMR, 2018a","")</f>
        <v/>
      </c>
      <c r="AQ59" s="419" cm="1">
        <f t="array" ref="AQ59">(_xlfn.IFS(AND($AF$31="Default"),(100/$AF$32)*$AF60,
AND($AF$31="Manual entry"),(100/$AF$33)*$AF60))/(_xlfn.IFS(AND($O$31="Default"),(100/$O$32)*$O60,
AND($O$31="Manual entry"),(100/$O$33)*$O60))</f>
        <v>0.49108228424492473</v>
      </c>
      <c r="AR59" s="37"/>
      <c r="AZ59" s="237"/>
    </row>
    <row r="60" spans="1:52" ht="19.5" customHeight="1" thickBot="1" x14ac:dyDescent="0.4">
      <c r="A60" s="303"/>
      <c r="B60" s="24"/>
      <c r="C60" s="91"/>
      <c r="D60" s="24"/>
      <c r="E60" s="305" t="s">
        <v>379</v>
      </c>
      <c r="F60" s="305"/>
      <c r="G60" s="134">
        <f t="shared" ref="G60:M60" si="36">IFERROR(IF($O$29="Default",
    IF($L$14&lt;&gt;"HML", (G$37/G$35)^12,
        IF(G$33="No", (G$37/G$35)^12,
            (G$37/G$35)^12/G$32
        )
    ),
    IF($O$29="Manual entry",
        IF($L$14&lt;&gt;"HML", (G$38/G$35)^12,
            IF(G$33="No", (G$38/G$35)^12,
                (G$38/G$35)^12/G$32
            )
        ),
        ""
    )
),"")</f>
        <v>7.9605604586267571</v>
      </c>
      <c r="H60" s="134">
        <f t="shared" si="36"/>
        <v>7.6400448714707307</v>
      </c>
      <c r="I60" s="134">
        <f t="shared" si="36"/>
        <v>2.1320485635644562</v>
      </c>
      <c r="J60" s="134" t="str">
        <f t="shared" si="36"/>
        <v/>
      </c>
      <c r="K60" s="134" t="str">
        <f t="shared" si="36"/>
        <v/>
      </c>
      <c r="L60" s="134" t="str">
        <f t="shared" si="36"/>
        <v/>
      </c>
      <c r="M60" s="134" t="str">
        <f t="shared" si="36"/>
        <v/>
      </c>
      <c r="N60" s="135"/>
      <c r="O60" s="318">
        <f>SUM(G60:M60)</f>
        <v>17.732653893661944</v>
      </c>
      <c r="P60" s="318"/>
      <c r="Q60" s="136"/>
      <c r="R60" s="17"/>
      <c r="S60" s="17"/>
      <c r="T60" s="146"/>
      <c r="U60" s="188"/>
      <c r="V60" s="305" t="s">
        <v>379</v>
      </c>
      <c r="W60" s="305"/>
      <c r="X60" s="134">
        <f t="shared" ref="X60:AD60" si="37">IFERROR(IF($AF$29="Default",
    IF($AC$14&lt;&gt;"HML", (X$37/X$35)^12,
        IF(X$33="No", (X$37/X$35)^12,
            (X$37/X$35)^12/X$32
        )
    ),
    IF($AF$29="Manual entry",
        IF($AC$14&lt;&gt;"HML", (X$38/X$35)^12,
            IF(X$33="No", (X$38/X$35)^12,
                (X$38/X$35)^12/X$32
            )
        ),
        ""
    )
),"")</f>
        <v>4.04043711778949</v>
      </c>
      <c r="Y60" s="134">
        <f t="shared" si="37"/>
        <v>4.438644156769314</v>
      </c>
      <c r="Z60" s="134">
        <f t="shared" si="37"/>
        <v>3.7062168240598909</v>
      </c>
      <c r="AA60" s="134">
        <f t="shared" si="37"/>
        <v>3.7062168240598909</v>
      </c>
      <c r="AB60" s="134">
        <f t="shared" si="37"/>
        <v>3.7062168240598909</v>
      </c>
      <c r="AC60" s="134" t="str">
        <f t="shared" si="37"/>
        <v/>
      </c>
      <c r="AD60" s="134" t="str">
        <f t="shared" si="37"/>
        <v/>
      </c>
      <c r="AE60" s="135"/>
      <c r="AF60" s="318">
        <f>SUM(X60:AD60)</f>
        <v>19.597731746738475</v>
      </c>
      <c r="AG60" s="318"/>
      <c r="AH60" s="136"/>
      <c r="AJ60" s="362"/>
      <c r="AK60" s="357"/>
      <c r="AL60" s="359"/>
      <c r="AM60" s="389"/>
      <c r="AN60" s="390"/>
      <c r="AO60" s="228"/>
      <c r="AP60" s="229" t="str" cm="1">
        <f t="array" ref="AP60">_xlfn.IFS($AO$41="Manual entry", "&lt; Enter value ($/km)",$AO$41="QLD", "&lt; Leave blank", $AO$39="ERROR: No costs exist, please select manual entry", "&lt; ERROR")</f>
        <v>&lt; Enter value ($/km)</v>
      </c>
      <c r="AQ60" s="419"/>
      <c r="AR60" s="37"/>
      <c r="AZ60" s="236"/>
    </row>
    <row r="61" spans="1:52" ht="19.5" customHeight="1" thickBot="1" x14ac:dyDescent="0.4">
      <c r="A61" s="303"/>
      <c r="B61" s="24"/>
      <c r="C61" s="93"/>
      <c r="D61" s="139"/>
      <c r="E61" s="140"/>
      <c r="F61" s="140"/>
      <c r="G61" s="140"/>
      <c r="H61" s="140"/>
      <c r="I61" s="140"/>
      <c r="J61" s="140"/>
      <c r="K61" s="140"/>
      <c r="L61" s="140"/>
      <c r="M61" s="140"/>
      <c r="N61" s="140"/>
      <c r="O61" s="140"/>
      <c r="P61" s="140"/>
      <c r="Q61" s="141"/>
      <c r="T61" s="147"/>
      <c r="U61" s="140"/>
      <c r="V61" s="317" t="s">
        <v>381</v>
      </c>
      <c r="W61" s="317"/>
      <c r="X61" s="161">
        <f>IFERROR((X60-G60)/G60,"")</f>
        <v>-0.49244313402444923</v>
      </c>
      <c r="Y61" s="161">
        <f t="shared" ref="Y61" si="38">IFERROR((Y60-H60)/H60,"")</f>
        <v>-0.41902904610626168</v>
      </c>
      <c r="Z61" s="161">
        <f t="shared" ref="Z61" si="39">IFERROR((Z60-I60)/I60,"")</f>
        <v>0.73833602451515856</v>
      </c>
      <c r="AA61" s="161" t="str">
        <f t="shared" ref="AA61" si="40">IFERROR((AA60-J60)/J60,"")</f>
        <v/>
      </c>
      <c r="AB61" s="161" t="str">
        <f t="shared" ref="AB61" si="41">IFERROR((AB60-K60)/K60,"")</f>
        <v/>
      </c>
      <c r="AC61" s="161" t="str">
        <f t="shared" ref="AC61" si="42">IFERROR((AC60-L60)/L60,"")</f>
        <v/>
      </c>
      <c r="AD61" s="161" t="str">
        <f t="shared" ref="AD61" si="43">IFERROR((AD60-M60)/M60,"")</f>
        <v/>
      </c>
      <c r="AE61" s="156"/>
      <c r="AF61" s="364">
        <f>IFERROR((AF60-O60)/O60,"")</f>
        <v>0.10517759294581129</v>
      </c>
      <c r="AG61" s="364"/>
      <c r="AH61" s="141"/>
      <c r="AJ61" s="37"/>
      <c r="AK61" s="37"/>
      <c r="AL61" s="37"/>
      <c r="AM61" s="37"/>
      <c r="AN61" s="37"/>
      <c r="AO61" s="37"/>
      <c r="AP61" s="384" t="str">
        <f ca="1">CONCATENATE("Accessed on: ", TEXT(TODAY(), "dd/mm/yyyy"))</f>
        <v>Accessed on: 24/04/2024</v>
      </c>
      <c r="AQ61" s="384"/>
      <c r="AR61" s="37"/>
      <c r="AX61" s="233"/>
      <c r="AY61" s="233"/>
      <c r="AZ61" s="236"/>
    </row>
    <row r="62" spans="1:52" ht="19.5" customHeight="1" thickBot="1" x14ac:dyDescent="0.4"/>
    <row r="63" spans="1:52" ht="19.5" customHeight="1" x14ac:dyDescent="0.35">
      <c r="A63" s="33"/>
      <c r="B63" s="34"/>
      <c r="C63" s="34"/>
      <c r="D63" s="82" t="s">
        <v>274</v>
      </c>
      <c r="E63" s="42"/>
      <c r="F63" s="42"/>
      <c r="G63" s="42"/>
      <c r="H63" s="43"/>
      <c r="I63" s="49" t="s">
        <v>330</v>
      </c>
      <c r="J63" s="42"/>
      <c r="K63" s="42"/>
      <c r="L63" s="43"/>
      <c r="M63" s="49" t="s">
        <v>333</v>
      </c>
      <c r="N63" s="42"/>
      <c r="O63" s="42"/>
      <c r="P63" s="42"/>
      <c r="Q63" s="42"/>
      <c r="R63" s="42"/>
      <c r="S63" s="42"/>
      <c r="T63" s="42"/>
      <c r="U63" s="34"/>
      <c r="V63" s="35"/>
      <c r="W63" s="408" t="s">
        <v>424</v>
      </c>
      <c r="X63" s="409"/>
      <c r="Y63" s="409"/>
      <c r="Z63" s="409"/>
      <c r="AA63" s="409"/>
      <c r="AB63" s="409"/>
      <c r="AC63" s="409"/>
      <c r="AD63" s="409"/>
      <c r="AE63" s="409"/>
      <c r="AF63" s="409"/>
      <c r="AG63" s="409"/>
      <c r="AH63" s="409"/>
      <c r="AI63" s="409"/>
      <c r="AJ63" s="409"/>
      <c r="AK63" s="409"/>
      <c r="AL63" s="410"/>
      <c r="AM63" s="247"/>
      <c r="AN63" s="248"/>
      <c r="AO63" s="34"/>
      <c r="AP63" s="34"/>
      <c r="AQ63" s="34"/>
      <c r="AR63" s="35"/>
      <c r="AS63" s="253"/>
      <c r="AT63" s="254"/>
    </row>
    <row r="64" spans="1:52" ht="19.5" customHeight="1" x14ac:dyDescent="0.35">
      <c r="A64" s="36"/>
      <c r="B64" s="37"/>
      <c r="C64" s="37"/>
      <c r="D64" s="342" t="s">
        <v>276</v>
      </c>
      <c r="E64" s="342"/>
      <c r="F64" s="342"/>
      <c r="G64" s="272"/>
      <c r="H64" s="45"/>
      <c r="I64" s="44" t="s">
        <v>20</v>
      </c>
      <c r="J64" s="266" t="s">
        <v>289</v>
      </c>
      <c r="K64" s="266"/>
      <c r="L64" s="45"/>
      <c r="M64" s="335" t="s">
        <v>82</v>
      </c>
      <c r="N64" s="369" t="s">
        <v>389</v>
      </c>
      <c r="O64" s="369"/>
      <c r="P64" s="369"/>
      <c r="Q64" s="369"/>
      <c r="R64" s="369"/>
      <c r="S64" s="369"/>
      <c r="T64" s="369"/>
      <c r="U64" s="37"/>
      <c r="V64" s="38"/>
      <c r="W64" s="411"/>
      <c r="X64" s="412"/>
      <c r="Y64" s="412"/>
      <c r="Z64" s="412"/>
      <c r="AA64" s="412"/>
      <c r="AB64" s="412"/>
      <c r="AC64" s="412"/>
      <c r="AD64" s="412"/>
      <c r="AE64" s="412"/>
      <c r="AF64" s="412"/>
      <c r="AG64" s="412"/>
      <c r="AH64" s="412"/>
      <c r="AI64" s="412"/>
      <c r="AJ64" s="412"/>
      <c r="AK64" s="412"/>
      <c r="AL64" s="413"/>
      <c r="AM64" s="249"/>
      <c r="AN64" s="271"/>
      <c r="AO64" s="37"/>
      <c r="AP64" s="37"/>
      <c r="AQ64" s="37"/>
      <c r="AR64" s="38"/>
      <c r="AT64" s="255"/>
    </row>
    <row r="65" spans="1:49" ht="19.5" customHeight="1" x14ac:dyDescent="0.35">
      <c r="A65" s="36"/>
      <c r="B65" s="37"/>
      <c r="C65" s="37"/>
      <c r="D65" s="342" t="s">
        <v>144</v>
      </c>
      <c r="E65" s="342"/>
      <c r="F65" s="342"/>
      <c r="G65" s="273"/>
      <c r="H65" s="45"/>
      <c r="I65" s="44" t="s">
        <v>227</v>
      </c>
      <c r="J65" s="266" t="s">
        <v>48</v>
      </c>
      <c r="K65" s="266"/>
      <c r="L65" s="45"/>
      <c r="M65" s="335"/>
      <c r="N65" s="369"/>
      <c r="O65" s="369"/>
      <c r="P65" s="369"/>
      <c r="Q65" s="369"/>
      <c r="R65" s="369"/>
      <c r="S65" s="369"/>
      <c r="T65" s="369"/>
      <c r="U65" s="37"/>
      <c r="V65" s="38"/>
      <c r="W65" s="411"/>
      <c r="X65" s="412"/>
      <c r="Y65" s="412"/>
      <c r="Z65" s="412"/>
      <c r="AA65" s="412"/>
      <c r="AB65" s="412"/>
      <c r="AC65" s="412"/>
      <c r="AD65" s="412"/>
      <c r="AE65" s="412"/>
      <c r="AF65" s="412"/>
      <c r="AG65" s="412"/>
      <c r="AH65" s="412"/>
      <c r="AI65" s="412"/>
      <c r="AJ65" s="412"/>
      <c r="AK65" s="412"/>
      <c r="AL65" s="413"/>
      <c r="AM65" s="249"/>
      <c r="AN65" s="271"/>
      <c r="AO65" s="37"/>
      <c r="AP65" s="37"/>
      <c r="AQ65" s="37"/>
      <c r="AR65" s="38"/>
      <c r="AT65" s="255"/>
    </row>
    <row r="66" spans="1:49" ht="19.5" customHeight="1" x14ac:dyDescent="0.35">
      <c r="A66" s="36"/>
      <c r="B66" s="37"/>
      <c r="C66" s="37"/>
      <c r="D66" s="342" t="s">
        <v>145</v>
      </c>
      <c r="E66" s="342"/>
      <c r="F66" s="342"/>
      <c r="G66" s="274"/>
      <c r="H66" s="45"/>
      <c r="I66" s="44" t="s">
        <v>82</v>
      </c>
      <c r="J66" s="266" t="s">
        <v>291</v>
      </c>
      <c r="K66" s="266"/>
      <c r="L66" s="45"/>
      <c r="M66" s="335" t="s">
        <v>79</v>
      </c>
      <c r="N66" s="369" t="s">
        <v>390</v>
      </c>
      <c r="O66" s="369"/>
      <c r="P66" s="369"/>
      <c r="Q66" s="369"/>
      <c r="R66" s="369"/>
      <c r="S66" s="369"/>
      <c r="T66" s="369"/>
      <c r="U66" s="37"/>
      <c r="V66" s="38"/>
      <c r="W66" s="411"/>
      <c r="X66" s="412"/>
      <c r="Y66" s="412"/>
      <c r="Z66" s="412"/>
      <c r="AA66" s="412"/>
      <c r="AB66" s="412"/>
      <c r="AC66" s="412"/>
      <c r="AD66" s="412"/>
      <c r="AE66" s="412"/>
      <c r="AF66" s="412"/>
      <c r="AG66" s="412"/>
      <c r="AH66" s="412"/>
      <c r="AI66" s="412"/>
      <c r="AJ66" s="412"/>
      <c r="AK66" s="412"/>
      <c r="AL66" s="413"/>
      <c r="AM66" s="249"/>
      <c r="AN66" s="271"/>
      <c r="AO66" s="37"/>
      <c r="AP66" s="37"/>
      <c r="AQ66" s="37"/>
      <c r="AR66" s="38"/>
      <c r="AT66" s="255"/>
    </row>
    <row r="67" spans="1:49" ht="19.5" customHeight="1" x14ac:dyDescent="0.35">
      <c r="A67" s="36"/>
      <c r="B67" s="37"/>
      <c r="C67" s="37"/>
      <c r="D67" s="342" t="s">
        <v>277</v>
      </c>
      <c r="E67" s="342"/>
      <c r="F67" s="342"/>
      <c r="G67" s="275"/>
      <c r="H67" s="45"/>
      <c r="I67" s="44" t="s">
        <v>290</v>
      </c>
      <c r="J67" s="266" t="s">
        <v>283</v>
      </c>
      <c r="K67" s="266"/>
      <c r="L67" s="45"/>
      <c r="M67" s="335"/>
      <c r="N67" s="369"/>
      <c r="O67" s="369"/>
      <c r="P67" s="369"/>
      <c r="Q67" s="369"/>
      <c r="R67" s="369"/>
      <c r="S67" s="369"/>
      <c r="T67" s="369"/>
      <c r="U67" s="37"/>
      <c r="V67" s="38"/>
      <c r="W67" s="411"/>
      <c r="X67" s="412"/>
      <c r="Y67" s="412"/>
      <c r="Z67" s="412"/>
      <c r="AA67" s="412"/>
      <c r="AB67" s="412"/>
      <c r="AC67" s="412"/>
      <c r="AD67" s="412"/>
      <c r="AE67" s="412"/>
      <c r="AF67" s="412"/>
      <c r="AG67" s="412"/>
      <c r="AH67" s="412"/>
      <c r="AI67" s="412"/>
      <c r="AJ67" s="412"/>
      <c r="AK67" s="412"/>
      <c r="AL67" s="413"/>
      <c r="AM67" s="249"/>
      <c r="AN67" s="271"/>
      <c r="AO67" s="37"/>
      <c r="AP67" s="37"/>
      <c r="AQ67" s="37"/>
      <c r="AR67" s="38"/>
      <c r="AT67" s="255"/>
    </row>
    <row r="68" spans="1:49" ht="19.5" customHeight="1" x14ac:dyDescent="0.35">
      <c r="A68" s="36"/>
      <c r="B68" s="37"/>
      <c r="C68" s="37"/>
      <c r="D68" s="342" t="s">
        <v>278</v>
      </c>
      <c r="E68" s="342"/>
      <c r="F68" s="342"/>
      <c r="G68" s="276"/>
      <c r="H68" s="45"/>
      <c r="I68" s="44" t="s">
        <v>18</v>
      </c>
      <c r="J68" s="266" t="s">
        <v>288</v>
      </c>
      <c r="K68" s="266"/>
      <c r="L68" s="45"/>
      <c r="M68" s="335" t="s">
        <v>80</v>
      </c>
      <c r="N68" s="369" t="s">
        <v>331</v>
      </c>
      <c r="O68" s="369"/>
      <c r="P68" s="369"/>
      <c r="Q68" s="369"/>
      <c r="R68" s="369"/>
      <c r="S68" s="369"/>
      <c r="T68" s="369"/>
      <c r="U68" s="37"/>
      <c r="V68" s="38"/>
      <c r="W68" s="411"/>
      <c r="X68" s="412"/>
      <c r="Y68" s="412"/>
      <c r="Z68" s="412"/>
      <c r="AA68" s="412"/>
      <c r="AB68" s="412"/>
      <c r="AC68" s="412"/>
      <c r="AD68" s="412"/>
      <c r="AE68" s="412"/>
      <c r="AF68" s="412"/>
      <c r="AG68" s="412"/>
      <c r="AH68" s="412"/>
      <c r="AI68" s="412"/>
      <c r="AJ68" s="412"/>
      <c r="AK68" s="412"/>
      <c r="AL68" s="413"/>
      <c r="AM68" s="249"/>
      <c r="AN68" s="271"/>
      <c r="AO68" s="37"/>
      <c r="AP68" s="37"/>
      <c r="AQ68" s="37"/>
      <c r="AR68" s="38"/>
      <c r="AT68" s="255"/>
    </row>
    <row r="69" spans="1:49" ht="19.5" customHeight="1" x14ac:dyDescent="0.35">
      <c r="A69" s="36"/>
      <c r="B69" s="37"/>
      <c r="C69" s="37"/>
      <c r="D69" s="342" t="s">
        <v>239</v>
      </c>
      <c r="E69" s="342"/>
      <c r="F69" s="342"/>
      <c r="G69" s="277"/>
      <c r="H69" s="45"/>
      <c r="I69" s="44" t="s">
        <v>7</v>
      </c>
      <c r="J69" s="266" t="s">
        <v>287</v>
      </c>
      <c r="K69" s="266"/>
      <c r="L69" s="45"/>
      <c r="M69" s="335"/>
      <c r="N69" s="369"/>
      <c r="O69" s="369"/>
      <c r="P69" s="369"/>
      <c r="Q69" s="369"/>
      <c r="R69" s="369"/>
      <c r="S69" s="369"/>
      <c r="T69" s="369"/>
      <c r="U69" s="37"/>
      <c r="V69" s="38"/>
      <c r="W69" s="411"/>
      <c r="X69" s="412"/>
      <c r="Y69" s="412"/>
      <c r="Z69" s="412"/>
      <c r="AA69" s="412"/>
      <c r="AB69" s="412"/>
      <c r="AC69" s="412"/>
      <c r="AD69" s="412"/>
      <c r="AE69" s="412"/>
      <c r="AF69" s="412"/>
      <c r="AG69" s="412"/>
      <c r="AH69" s="412"/>
      <c r="AI69" s="412"/>
      <c r="AJ69" s="412"/>
      <c r="AK69" s="412"/>
      <c r="AL69" s="413"/>
      <c r="AM69" s="249"/>
      <c r="AN69" s="271"/>
      <c r="AO69" s="37"/>
      <c r="AP69" s="37"/>
      <c r="AQ69" s="37"/>
      <c r="AR69" s="38"/>
      <c r="AT69" s="255"/>
    </row>
    <row r="70" spans="1:49" ht="19.5" customHeight="1" x14ac:dyDescent="0.35">
      <c r="A70" s="36"/>
      <c r="B70" s="37"/>
      <c r="C70" s="37"/>
      <c r="D70" s="342" t="s">
        <v>279</v>
      </c>
      <c r="E70" s="342"/>
      <c r="F70" s="342"/>
      <c r="G70" s="278" t="s">
        <v>275</v>
      </c>
      <c r="H70" s="45"/>
      <c r="I70" s="44" t="s">
        <v>282</v>
      </c>
      <c r="J70" s="266" t="s">
        <v>284</v>
      </c>
      <c r="K70" s="266"/>
      <c r="L70" s="45"/>
      <c r="M70" s="335" t="s">
        <v>154</v>
      </c>
      <c r="N70" s="370" t="s">
        <v>334</v>
      </c>
      <c r="O70" s="370"/>
      <c r="P70" s="370"/>
      <c r="Q70" s="370"/>
      <c r="R70" s="370"/>
      <c r="S70" s="370"/>
      <c r="T70" s="370"/>
      <c r="U70" s="37"/>
      <c r="V70" s="38"/>
      <c r="W70" s="411"/>
      <c r="X70" s="412"/>
      <c r="Y70" s="412"/>
      <c r="Z70" s="412"/>
      <c r="AA70" s="412"/>
      <c r="AB70" s="412"/>
      <c r="AC70" s="412"/>
      <c r="AD70" s="412"/>
      <c r="AE70" s="412"/>
      <c r="AF70" s="412"/>
      <c r="AG70" s="412"/>
      <c r="AH70" s="412"/>
      <c r="AI70" s="412"/>
      <c r="AJ70" s="412"/>
      <c r="AK70" s="412"/>
      <c r="AL70" s="413"/>
      <c r="AM70" s="250"/>
      <c r="AN70" s="267"/>
      <c r="AO70" s="37"/>
      <c r="AP70" s="37"/>
      <c r="AQ70" s="37"/>
      <c r="AR70" s="38"/>
      <c r="AT70" s="255"/>
    </row>
    <row r="71" spans="1:49" ht="19.5" customHeight="1" thickBot="1" x14ac:dyDescent="0.4">
      <c r="A71" s="36"/>
      <c r="B71" s="37"/>
      <c r="C71" s="37"/>
      <c r="D71" s="342" t="s">
        <v>339</v>
      </c>
      <c r="E71" s="342"/>
      <c r="F71" s="342"/>
      <c r="G71" s="279" t="s">
        <v>342</v>
      </c>
      <c r="H71" s="45"/>
      <c r="I71" s="44" t="s">
        <v>281</v>
      </c>
      <c r="J71" s="266" t="s">
        <v>384</v>
      </c>
      <c r="K71" s="266"/>
      <c r="L71" s="45"/>
      <c r="M71" s="335"/>
      <c r="N71" s="370"/>
      <c r="O71" s="370"/>
      <c r="P71" s="370"/>
      <c r="Q71" s="370"/>
      <c r="R71" s="370"/>
      <c r="S71" s="370"/>
      <c r="T71" s="370"/>
      <c r="U71" s="37"/>
      <c r="V71" s="38"/>
      <c r="W71" s="414"/>
      <c r="X71" s="415"/>
      <c r="Y71" s="415"/>
      <c r="Z71" s="415"/>
      <c r="AA71" s="415"/>
      <c r="AB71" s="415"/>
      <c r="AC71" s="415"/>
      <c r="AD71" s="415"/>
      <c r="AE71" s="415"/>
      <c r="AF71" s="415"/>
      <c r="AG71" s="415"/>
      <c r="AH71" s="415"/>
      <c r="AI71" s="415"/>
      <c r="AJ71" s="415"/>
      <c r="AK71" s="415"/>
      <c r="AL71" s="416"/>
      <c r="AM71" s="250"/>
      <c r="AN71" s="267"/>
      <c r="AO71" s="37"/>
      <c r="AP71" s="37"/>
      <c r="AQ71" s="37"/>
      <c r="AR71" s="38"/>
      <c r="AT71" s="255"/>
    </row>
    <row r="72" spans="1:49" ht="19.5" customHeight="1" x14ac:dyDescent="0.35">
      <c r="A72" s="36"/>
      <c r="B72" s="37"/>
      <c r="C72" s="37"/>
      <c r="D72" s="37" t="s">
        <v>341</v>
      </c>
      <c r="E72" s="37"/>
      <c r="F72" s="37"/>
      <c r="G72" s="280" t="s">
        <v>340</v>
      </c>
      <c r="H72" s="45"/>
      <c r="I72" s="44" t="s">
        <v>147</v>
      </c>
      <c r="J72" s="266" t="s">
        <v>285</v>
      </c>
      <c r="K72" s="266"/>
      <c r="L72" s="45"/>
      <c r="M72" s="335" t="s">
        <v>81</v>
      </c>
      <c r="N72" s="369" t="s">
        <v>332</v>
      </c>
      <c r="O72" s="369"/>
      <c r="P72" s="369"/>
      <c r="Q72" s="369"/>
      <c r="R72" s="369"/>
      <c r="S72" s="369"/>
      <c r="T72" s="369"/>
      <c r="U72" s="37"/>
      <c r="V72" s="38"/>
      <c r="W72" s="398" t="s">
        <v>411</v>
      </c>
      <c r="X72" s="399"/>
      <c r="Y72" s="399"/>
      <c r="Z72" s="399"/>
      <c r="AA72" s="399"/>
      <c r="AB72" s="399"/>
      <c r="AC72" s="399"/>
      <c r="AD72" s="399"/>
      <c r="AE72" s="399"/>
      <c r="AF72" s="399"/>
      <c r="AG72" s="399"/>
      <c r="AH72" s="399"/>
      <c r="AI72" s="399"/>
      <c r="AJ72" s="399"/>
      <c r="AK72" s="399"/>
      <c r="AL72" s="400"/>
      <c r="AM72" s="250"/>
      <c r="AN72" s="267"/>
      <c r="AO72" s="37"/>
      <c r="AP72" s="37"/>
      <c r="AQ72" s="37"/>
      <c r="AR72" s="38"/>
      <c r="AT72" s="255"/>
    </row>
    <row r="73" spans="1:49" ht="19.5" customHeight="1" x14ac:dyDescent="0.35">
      <c r="A73" s="36"/>
      <c r="B73" s="37"/>
      <c r="C73" s="37"/>
      <c r="D73" s="37"/>
      <c r="E73" s="37"/>
      <c r="F73" s="37"/>
      <c r="G73" s="37"/>
      <c r="H73" s="45"/>
      <c r="I73" s="44" t="s">
        <v>249</v>
      </c>
      <c r="J73" s="266" t="s">
        <v>278</v>
      </c>
      <c r="K73" s="266"/>
      <c r="L73" s="45"/>
      <c r="M73" s="335"/>
      <c r="N73" s="369"/>
      <c r="O73" s="369"/>
      <c r="P73" s="369"/>
      <c r="Q73" s="369"/>
      <c r="R73" s="369"/>
      <c r="S73" s="369"/>
      <c r="T73" s="369"/>
      <c r="U73" s="37"/>
      <c r="V73" s="38"/>
      <c r="W73" s="401"/>
      <c r="X73" s="402"/>
      <c r="Y73" s="402"/>
      <c r="Z73" s="402"/>
      <c r="AA73" s="402"/>
      <c r="AB73" s="402"/>
      <c r="AC73" s="402"/>
      <c r="AD73" s="402"/>
      <c r="AE73" s="402"/>
      <c r="AF73" s="402"/>
      <c r="AG73" s="402"/>
      <c r="AH73" s="402"/>
      <c r="AI73" s="402"/>
      <c r="AJ73" s="402"/>
      <c r="AK73" s="402"/>
      <c r="AL73" s="403"/>
      <c r="AM73" s="250"/>
      <c r="AN73" s="267"/>
      <c r="AO73" s="37"/>
      <c r="AP73" s="37"/>
      <c r="AQ73" s="37"/>
      <c r="AR73" s="38"/>
      <c r="AT73" s="255"/>
    </row>
    <row r="74" spans="1:49" ht="19.5" customHeight="1" x14ac:dyDescent="0.35">
      <c r="A74" s="36"/>
      <c r="B74" s="37"/>
      <c r="C74" s="37"/>
      <c r="D74" s="270" t="s">
        <v>303</v>
      </c>
      <c r="E74" s="270"/>
      <c r="F74" s="270"/>
      <c r="G74" s="281">
        <v>2023</v>
      </c>
      <c r="H74" s="45"/>
      <c r="I74" s="44" t="s">
        <v>292</v>
      </c>
      <c r="J74" s="266" t="s">
        <v>293</v>
      </c>
      <c r="K74" s="266"/>
      <c r="L74" s="45"/>
      <c r="M74" s="352" t="s">
        <v>364</v>
      </c>
      <c r="N74" s="369" t="s">
        <v>365</v>
      </c>
      <c r="O74" s="369"/>
      <c r="P74" s="369"/>
      <c r="Q74" s="369"/>
      <c r="R74" s="369"/>
      <c r="S74" s="369"/>
      <c r="T74" s="369"/>
      <c r="U74" s="37"/>
      <c r="V74" s="38"/>
      <c r="W74" s="401"/>
      <c r="X74" s="402"/>
      <c r="Y74" s="402"/>
      <c r="Z74" s="402"/>
      <c r="AA74" s="402"/>
      <c r="AB74" s="402"/>
      <c r="AC74" s="402"/>
      <c r="AD74" s="402"/>
      <c r="AE74" s="402"/>
      <c r="AF74" s="402"/>
      <c r="AG74" s="402"/>
      <c r="AH74" s="402"/>
      <c r="AI74" s="402"/>
      <c r="AJ74" s="402"/>
      <c r="AK74" s="402"/>
      <c r="AL74" s="403"/>
      <c r="AM74" s="250"/>
      <c r="AN74" s="267"/>
      <c r="AO74" s="37"/>
      <c r="AP74" s="37"/>
      <c r="AQ74" s="37"/>
      <c r="AR74" s="38"/>
      <c r="AT74" s="255"/>
    </row>
    <row r="75" spans="1:49" ht="19.5" customHeight="1" thickBot="1" x14ac:dyDescent="0.4">
      <c r="A75" s="36"/>
      <c r="B75" s="37"/>
      <c r="C75" s="37"/>
      <c r="D75" s="266"/>
      <c r="E75" s="266"/>
      <c r="F75" s="266"/>
      <c r="G75" s="266"/>
      <c r="H75" s="45"/>
      <c r="I75" s="44" t="s">
        <v>280</v>
      </c>
      <c r="J75" s="266" t="s">
        <v>286</v>
      </c>
      <c r="K75" s="266"/>
      <c r="L75" s="45"/>
      <c r="M75" s="352"/>
      <c r="N75" s="369"/>
      <c r="O75" s="369"/>
      <c r="P75" s="369"/>
      <c r="Q75" s="369"/>
      <c r="R75" s="369"/>
      <c r="S75" s="369"/>
      <c r="T75" s="369"/>
      <c r="U75" s="37"/>
      <c r="V75" s="38"/>
      <c r="W75" s="401"/>
      <c r="X75" s="402"/>
      <c r="Y75" s="402"/>
      <c r="Z75" s="402"/>
      <c r="AA75" s="402"/>
      <c r="AB75" s="402"/>
      <c r="AC75" s="402"/>
      <c r="AD75" s="402"/>
      <c r="AE75" s="402"/>
      <c r="AF75" s="402"/>
      <c r="AG75" s="402"/>
      <c r="AH75" s="402"/>
      <c r="AI75" s="402"/>
      <c r="AJ75" s="402"/>
      <c r="AK75" s="402"/>
      <c r="AL75" s="403"/>
      <c r="AM75" s="250"/>
      <c r="AN75" s="267"/>
      <c r="AO75" s="268"/>
      <c r="AP75" s="268"/>
      <c r="AQ75" s="268"/>
      <c r="AR75" s="282"/>
      <c r="AS75" s="256"/>
      <c r="AT75" s="257"/>
    </row>
    <row r="76" spans="1:49" ht="19.5" customHeight="1" thickBot="1" x14ac:dyDescent="0.4">
      <c r="A76" s="39"/>
      <c r="B76" s="40"/>
      <c r="C76" s="40"/>
      <c r="D76" s="47"/>
      <c r="E76" s="47"/>
      <c r="F76" s="47"/>
      <c r="G76" s="47"/>
      <c r="H76" s="48"/>
      <c r="I76" s="46" t="s">
        <v>422</v>
      </c>
      <c r="J76" s="47" t="s">
        <v>423</v>
      </c>
      <c r="K76" s="47"/>
      <c r="L76" s="48"/>
      <c r="M76" s="265"/>
      <c r="N76" s="264"/>
      <c r="O76" s="264"/>
      <c r="P76" s="264"/>
      <c r="Q76" s="264"/>
      <c r="R76" s="264"/>
      <c r="S76" s="264"/>
      <c r="T76" s="264"/>
      <c r="U76" s="40"/>
      <c r="V76" s="41"/>
      <c r="W76" s="404"/>
      <c r="X76" s="405"/>
      <c r="Y76" s="405"/>
      <c r="Z76" s="405"/>
      <c r="AA76" s="405"/>
      <c r="AB76" s="405"/>
      <c r="AC76" s="405"/>
      <c r="AD76" s="405"/>
      <c r="AE76" s="405"/>
      <c r="AF76" s="405"/>
      <c r="AG76" s="405"/>
      <c r="AH76" s="405"/>
      <c r="AI76" s="405"/>
      <c r="AJ76" s="405"/>
      <c r="AK76" s="405"/>
      <c r="AL76" s="406"/>
      <c r="AM76" s="251"/>
      <c r="AN76" s="252"/>
      <c r="AO76" s="189"/>
      <c r="AP76" s="189"/>
      <c r="AQ76" s="189"/>
      <c r="AR76" s="283"/>
      <c r="AS76" s="269"/>
      <c r="AT76" s="269"/>
    </row>
    <row r="77" spans="1:49" ht="19.5" customHeight="1" x14ac:dyDescent="0.35">
      <c r="A77" s="284"/>
      <c r="B77" s="285"/>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6"/>
    </row>
    <row r="78" spans="1:49" ht="19.5" customHeight="1" thickBot="1" x14ac:dyDescent="0.4">
      <c r="A78" s="287"/>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9"/>
    </row>
    <row r="79" spans="1:49" ht="19.5" customHeight="1" x14ac:dyDescent="0.35">
      <c r="AE79" s="32"/>
      <c r="AF79" s="32"/>
      <c r="AG79" s="32"/>
      <c r="AH79" s="32"/>
      <c r="AI79" s="32"/>
      <c r="AJ79" s="32"/>
      <c r="AK79" s="32"/>
      <c r="AL79" s="32"/>
      <c r="AM79" s="32"/>
      <c r="AN79" s="32"/>
      <c r="AV79" s="383" t="s">
        <v>337</v>
      </c>
      <c r="AW79" s="383"/>
    </row>
    <row r="80" spans="1:49" ht="19.5" customHeight="1" x14ac:dyDescent="0.35">
      <c r="AE80" s="32"/>
      <c r="AF80" s="32"/>
      <c r="AG80" s="32"/>
      <c r="AH80" s="32"/>
      <c r="AI80" s="32"/>
      <c r="AJ80" s="32"/>
      <c r="AK80" s="32"/>
      <c r="AL80" s="32"/>
      <c r="AM80" s="32"/>
      <c r="AN80" s="32"/>
      <c r="AV80" s="383"/>
      <c r="AW80" s="383"/>
    </row>
    <row r="81" spans="23:49" ht="19.5" customHeight="1" x14ac:dyDescent="0.35">
      <c r="AL81" s="32"/>
      <c r="AM81" s="32"/>
      <c r="AN81" s="32"/>
      <c r="AV81" s="383"/>
      <c r="AW81" s="383"/>
    </row>
    <row r="82" spans="23:49" ht="19.5" customHeight="1" x14ac:dyDescent="0.35">
      <c r="AL82" s="32"/>
      <c r="AM82" s="32"/>
      <c r="AN82" s="32"/>
      <c r="AV82" s="383"/>
      <c r="AW82" s="383"/>
    </row>
    <row r="83" spans="23:49" ht="19.5" customHeight="1" x14ac:dyDescent="0.35">
      <c r="AL83" s="32"/>
      <c r="AM83" s="32"/>
      <c r="AN83" s="32"/>
      <c r="AV83" s="383"/>
      <c r="AW83" s="383"/>
    </row>
    <row r="84" spans="23:49" ht="19.5" customHeight="1" thickBot="1" x14ac:dyDescent="0.4">
      <c r="AL84" s="32"/>
      <c r="AM84" s="32"/>
      <c r="AN84" s="32"/>
      <c r="AV84" s="383"/>
      <c r="AW84" s="383"/>
    </row>
    <row r="85" spans="23:49" ht="19.5" customHeight="1" thickBot="1" x14ac:dyDescent="0.4">
      <c r="X85" s="258"/>
      <c r="Y85" s="258"/>
      <c r="Z85" s="258"/>
      <c r="AA85" s="258"/>
      <c r="AB85" s="258"/>
      <c r="AC85" s="258"/>
      <c r="AD85" s="258"/>
      <c r="AE85" s="258"/>
      <c r="AF85" s="258"/>
      <c r="AG85" s="258"/>
      <c r="AH85" s="258"/>
      <c r="AI85" s="258"/>
      <c r="AJ85" s="258"/>
      <c r="AK85" s="258"/>
      <c r="AL85" s="258"/>
    </row>
    <row r="86" spans="23:49" ht="19.5" customHeight="1" x14ac:dyDescent="0.35">
      <c r="W86" s="259"/>
      <c r="X86" s="260"/>
      <c r="Y86" s="260"/>
      <c r="Z86" s="260"/>
      <c r="AA86" s="260"/>
      <c r="AB86" s="260"/>
      <c r="AC86" s="260"/>
      <c r="AD86" s="260"/>
      <c r="AE86" s="260"/>
      <c r="AF86" s="260"/>
      <c r="AG86" s="260"/>
      <c r="AH86" s="260"/>
      <c r="AI86" s="260"/>
      <c r="AJ86" s="260"/>
      <c r="AK86" s="260"/>
      <c r="AL86" s="260"/>
      <c r="AV86" s="379" t="s">
        <v>267</v>
      </c>
      <c r="AW86" s="381" t="s">
        <v>268</v>
      </c>
    </row>
    <row r="87" spans="23:49" ht="19.5" customHeight="1" thickBot="1" x14ac:dyDescent="0.4">
      <c r="W87" s="259"/>
      <c r="X87" s="260"/>
      <c r="Y87" s="260"/>
      <c r="Z87" s="260"/>
      <c r="AA87" s="260"/>
      <c r="AB87" s="260"/>
      <c r="AC87" s="260"/>
      <c r="AD87" s="260"/>
      <c r="AE87" s="260"/>
      <c r="AF87" s="260"/>
      <c r="AG87" s="260"/>
      <c r="AH87" s="260"/>
      <c r="AI87" s="260"/>
      <c r="AJ87" s="260"/>
      <c r="AK87" s="260"/>
      <c r="AL87" s="260"/>
      <c r="AV87" s="380"/>
      <c r="AW87" s="382"/>
    </row>
    <row r="88" spans="23:49" ht="39.5" customHeight="1" x14ac:dyDescent="0.35">
      <c r="W88" s="259"/>
      <c r="X88" s="260"/>
      <c r="Y88" s="260"/>
      <c r="Z88" s="260"/>
      <c r="AA88" s="260"/>
      <c r="AB88" s="260"/>
      <c r="AC88" s="260"/>
      <c r="AD88" s="260"/>
      <c r="AE88" s="260"/>
      <c r="AF88" s="260"/>
      <c r="AG88" s="260"/>
      <c r="AH88" s="260"/>
      <c r="AI88" s="260"/>
      <c r="AJ88" s="260"/>
      <c r="AK88" s="260"/>
      <c r="AL88" s="260"/>
      <c r="AV88" s="181" t="s">
        <v>133</v>
      </c>
      <c r="AW88" s="166"/>
    </row>
    <row r="89" spans="23:49" ht="41" customHeight="1" x14ac:dyDescent="0.35">
      <c r="W89" s="259"/>
      <c r="X89" s="260"/>
      <c r="Y89" s="260"/>
      <c r="Z89" s="260"/>
      <c r="AA89" s="260"/>
      <c r="AB89" s="260"/>
      <c r="AC89" s="260"/>
      <c r="AD89" s="260"/>
      <c r="AE89" s="260"/>
      <c r="AF89" s="260"/>
      <c r="AG89" s="260"/>
      <c r="AH89" s="260"/>
      <c r="AI89" s="260"/>
      <c r="AJ89" s="260"/>
      <c r="AK89" s="260"/>
      <c r="AL89" s="260"/>
      <c r="AV89" s="162" t="s">
        <v>120</v>
      </c>
      <c r="AW89" s="167"/>
    </row>
    <row r="90" spans="23:49" ht="41" customHeight="1" thickBot="1" x14ac:dyDescent="0.4">
      <c r="W90" s="261"/>
      <c r="X90" s="262"/>
      <c r="Y90" s="262"/>
      <c r="Z90" s="262"/>
      <c r="AA90" s="262"/>
      <c r="AB90" s="262"/>
      <c r="AC90" s="262"/>
      <c r="AD90" s="262"/>
      <c r="AE90" s="262"/>
      <c r="AF90" s="262"/>
      <c r="AG90" s="262"/>
      <c r="AH90" s="262"/>
      <c r="AI90" s="262"/>
      <c r="AJ90" s="262"/>
      <c r="AK90" s="262"/>
      <c r="AL90" s="262"/>
      <c r="AV90" s="162" t="s">
        <v>134</v>
      </c>
      <c r="AW90" s="167"/>
    </row>
    <row r="91" spans="23:49" ht="41" customHeight="1" x14ac:dyDescent="0.35">
      <c r="AV91" s="162" t="s">
        <v>125</v>
      </c>
      <c r="AW91" s="167"/>
    </row>
    <row r="92" spans="23:49" ht="41" customHeight="1" x14ac:dyDescent="0.35">
      <c r="AV92" s="163" t="s">
        <v>129</v>
      </c>
      <c r="AW92" s="167"/>
    </row>
    <row r="93" spans="23:49" ht="41" customHeight="1" x14ac:dyDescent="0.35">
      <c r="AV93" s="162" t="s">
        <v>121</v>
      </c>
      <c r="AW93" s="167"/>
    </row>
    <row r="94" spans="23:49" ht="41" customHeight="1" x14ac:dyDescent="0.35">
      <c r="AV94" s="162" t="s">
        <v>124</v>
      </c>
      <c r="AW94" s="167"/>
    </row>
    <row r="95" spans="23:49" ht="41" customHeight="1" x14ac:dyDescent="0.35">
      <c r="AV95" s="162" t="s">
        <v>64</v>
      </c>
      <c r="AW95" s="167"/>
    </row>
    <row r="96" spans="23:49" ht="41" customHeight="1" x14ac:dyDescent="0.35">
      <c r="AV96" s="162" t="s">
        <v>55</v>
      </c>
      <c r="AW96" s="167"/>
    </row>
    <row r="97" spans="48:49" ht="41" customHeight="1" x14ac:dyDescent="0.35">
      <c r="AV97" s="162" t="s">
        <v>67</v>
      </c>
      <c r="AW97" s="167"/>
    </row>
    <row r="98" spans="48:49" ht="41" customHeight="1" x14ac:dyDescent="0.35">
      <c r="AV98" s="162" t="s">
        <v>72</v>
      </c>
      <c r="AW98" s="167"/>
    </row>
    <row r="99" spans="48:49" ht="41" customHeight="1" x14ac:dyDescent="0.35">
      <c r="AV99" s="162" t="s">
        <v>70</v>
      </c>
      <c r="AW99" s="167"/>
    </row>
    <row r="100" spans="48:49" ht="41" customHeight="1" x14ac:dyDescent="0.35">
      <c r="AV100" s="162" t="s">
        <v>142</v>
      </c>
      <c r="AW100" s="167"/>
    </row>
    <row r="101" spans="48:49" ht="41" customHeight="1" x14ac:dyDescent="0.35">
      <c r="AV101" s="162" t="s">
        <v>68</v>
      </c>
      <c r="AW101" s="167"/>
    </row>
    <row r="102" spans="48:49" ht="41" customHeight="1" x14ac:dyDescent="0.35">
      <c r="AV102" s="162" t="s">
        <v>74</v>
      </c>
      <c r="AW102" s="167"/>
    </row>
    <row r="103" spans="48:49" ht="41" customHeight="1" x14ac:dyDescent="0.35">
      <c r="AV103" s="162" t="s">
        <v>71</v>
      </c>
      <c r="AW103" s="167"/>
    </row>
    <row r="104" spans="48:49" ht="41" customHeight="1" x14ac:dyDescent="0.35">
      <c r="AV104" s="162" t="s">
        <v>143</v>
      </c>
      <c r="AW104" s="167"/>
    </row>
    <row r="105" spans="48:49" ht="41" customHeight="1" x14ac:dyDescent="0.35">
      <c r="AV105" s="162" t="s">
        <v>57</v>
      </c>
      <c r="AW105" s="167"/>
    </row>
    <row r="106" spans="48:49" ht="41" customHeight="1" x14ac:dyDescent="0.35">
      <c r="AV106" s="162" t="s">
        <v>127</v>
      </c>
      <c r="AW106" s="167"/>
    </row>
    <row r="107" spans="48:49" ht="41" customHeight="1" x14ac:dyDescent="0.35">
      <c r="AV107" s="162" t="s">
        <v>122</v>
      </c>
      <c r="AW107" s="167"/>
    </row>
    <row r="108" spans="48:49" ht="41" customHeight="1" x14ac:dyDescent="0.35">
      <c r="AV108" s="162" t="s">
        <v>123</v>
      </c>
      <c r="AW108" s="167"/>
    </row>
    <row r="109" spans="48:49" ht="41" customHeight="1" x14ac:dyDescent="0.35">
      <c r="AV109" s="162" t="s">
        <v>58</v>
      </c>
      <c r="AW109" s="167"/>
    </row>
    <row r="110" spans="48:49" ht="41" customHeight="1" x14ac:dyDescent="0.35">
      <c r="AV110" s="162" t="s">
        <v>139</v>
      </c>
      <c r="AW110" s="167"/>
    </row>
    <row r="111" spans="48:49" ht="41" customHeight="1" x14ac:dyDescent="0.35">
      <c r="AV111" s="162" t="s">
        <v>126</v>
      </c>
      <c r="AW111" s="167"/>
    </row>
    <row r="112" spans="48:49" ht="41" customHeight="1" x14ac:dyDescent="0.35">
      <c r="AV112" s="162" t="s">
        <v>62</v>
      </c>
      <c r="AW112" s="167"/>
    </row>
    <row r="113" spans="48:49" ht="41" customHeight="1" x14ac:dyDescent="0.35">
      <c r="AV113" s="162" t="s">
        <v>69</v>
      </c>
      <c r="AW113" s="167"/>
    </row>
    <row r="114" spans="48:49" ht="41" customHeight="1" x14ac:dyDescent="0.35">
      <c r="AV114" s="162" t="s">
        <v>73</v>
      </c>
      <c r="AW114" s="167"/>
    </row>
    <row r="115" spans="48:49" ht="41" customHeight="1" x14ac:dyDescent="0.35">
      <c r="AV115" s="162" t="s">
        <v>75</v>
      </c>
      <c r="AW115" s="167"/>
    </row>
    <row r="116" spans="48:49" ht="41" customHeight="1" x14ac:dyDescent="0.35">
      <c r="AV116" s="162" t="s">
        <v>128</v>
      </c>
      <c r="AW116" s="167"/>
    </row>
    <row r="117" spans="48:49" ht="41" customHeight="1" x14ac:dyDescent="0.35">
      <c r="AV117" s="162" t="s">
        <v>65</v>
      </c>
      <c r="AW117" s="167"/>
    </row>
    <row r="118" spans="48:49" ht="41" customHeight="1" x14ac:dyDescent="0.35">
      <c r="AV118" s="162" t="s">
        <v>66</v>
      </c>
      <c r="AW118" s="167"/>
    </row>
    <row r="119" spans="48:49" ht="41" customHeight="1" x14ac:dyDescent="0.35">
      <c r="AV119" s="164" t="s">
        <v>51</v>
      </c>
      <c r="AW119" s="167"/>
    </row>
    <row r="120" spans="48:49" ht="41" customHeight="1" x14ac:dyDescent="0.35">
      <c r="AV120" s="162" t="s">
        <v>135</v>
      </c>
      <c r="AW120" s="167"/>
    </row>
    <row r="121" spans="48:49" ht="41" customHeight="1" x14ac:dyDescent="0.35">
      <c r="AV121" s="162" t="s">
        <v>136</v>
      </c>
      <c r="AW121" s="167"/>
    </row>
    <row r="122" spans="48:49" ht="41" customHeight="1" x14ac:dyDescent="0.35">
      <c r="AV122" s="162" t="s">
        <v>52</v>
      </c>
      <c r="AW122" s="167"/>
    </row>
    <row r="123" spans="48:49" ht="41" customHeight="1" x14ac:dyDescent="0.35">
      <c r="AV123" s="162" t="s">
        <v>137</v>
      </c>
      <c r="AW123" s="167"/>
    </row>
    <row r="124" spans="48:49" ht="41" customHeight="1" x14ac:dyDescent="0.35">
      <c r="AV124" s="164" t="s">
        <v>56</v>
      </c>
      <c r="AW124" s="167"/>
    </row>
    <row r="125" spans="48:49" ht="41" customHeight="1" x14ac:dyDescent="0.35">
      <c r="AV125" s="162" t="s">
        <v>130</v>
      </c>
      <c r="AW125" s="167"/>
    </row>
    <row r="126" spans="48:49" ht="41" customHeight="1" x14ac:dyDescent="0.35">
      <c r="AV126" s="162" t="s">
        <v>59</v>
      </c>
      <c r="AW126" s="167"/>
    </row>
    <row r="127" spans="48:49" ht="41" customHeight="1" x14ac:dyDescent="0.35">
      <c r="AV127" s="162" t="s">
        <v>140</v>
      </c>
      <c r="AW127" s="167"/>
    </row>
    <row r="128" spans="48:49" ht="41" customHeight="1" x14ac:dyDescent="0.35">
      <c r="AV128" s="162" t="s">
        <v>60</v>
      </c>
      <c r="AW128" s="167"/>
    </row>
    <row r="129" spans="48:49" ht="41" customHeight="1" x14ac:dyDescent="0.35">
      <c r="AV129" s="162" t="s">
        <v>141</v>
      </c>
      <c r="AW129" s="167"/>
    </row>
    <row r="130" spans="48:49" ht="41" customHeight="1" x14ac:dyDescent="0.35">
      <c r="AV130" s="162" t="s">
        <v>138</v>
      </c>
      <c r="AW130" s="167"/>
    </row>
    <row r="131" spans="48:49" ht="41" customHeight="1" x14ac:dyDescent="0.35">
      <c r="AV131" s="162" t="s">
        <v>63</v>
      </c>
      <c r="AW131" s="167"/>
    </row>
    <row r="132" spans="48:49" ht="41" customHeight="1" x14ac:dyDescent="0.35">
      <c r="AV132" s="162" t="s">
        <v>132</v>
      </c>
      <c r="AW132" s="167"/>
    </row>
    <row r="133" spans="48:49" ht="41" customHeight="1" x14ac:dyDescent="0.35">
      <c r="AV133" s="162" t="s">
        <v>53</v>
      </c>
      <c r="AW133" s="167"/>
    </row>
    <row r="134" spans="48:49" ht="41" customHeight="1" x14ac:dyDescent="0.35">
      <c r="AV134" s="162" t="s">
        <v>117</v>
      </c>
      <c r="AW134" s="167"/>
    </row>
    <row r="135" spans="48:49" ht="41" customHeight="1" x14ac:dyDescent="0.35">
      <c r="AV135" s="162" t="s">
        <v>131</v>
      </c>
      <c r="AW135" s="167"/>
    </row>
    <row r="136" spans="48:49" ht="41" customHeight="1" x14ac:dyDescent="0.35">
      <c r="AV136" s="162" t="s">
        <v>61</v>
      </c>
      <c r="AW136" s="167"/>
    </row>
    <row r="137" spans="48:49" ht="41" customHeight="1" x14ac:dyDescent="0.35">
      <c r="AV137" s="162" t="s">
        <v>118</v>
      </c>
      <c r="AW137" s="167"/>
    </row>
    <row r="138" spans="48:49" ht="41" customHeight="1" x14ac:dyDescent="0.35">
      <c r="AV138" s="162" t="s">
        <v>119</v>
      </c>
      <c r="AW138" s="167"/>
    </row>
    <row r="139" spans="48:49" ht="41" customHeight="1" x14ac:dyDescent="0.35">
      <c r="AV139" s="162" t="s">
        <v>54</v>
      </c>
      <c r="AW139" s="167"/>
    </row>
    <row r="140" spans="48:49" ht="41" customHeight="1" thickBot="1" x14ac:dyDescent="0.4">
      <c r="AV140" s="165" t="s">
        <v>266</v>
      </c>
      <c r="AW140" s="168"/>
    </row>
    <row r="141" spans="48:49" ht="41" customHeight="1" x14ac:dyDescent="0.35"/>
  </sheetData>
  <sheetProtection algorithmName="SHA-512" hashValue="X5qFFpLzF9ofqWgA79L8v3TUk7ohnj/z8fQtMqPxBd7QKwJ33TAi/4Y8HrYL+BLkpn0FGnB97G/AA3PQfi3h9w==" saltValue="/2knqnyaDuYlGF45ziyUZw==" spinCount="100000" sheet="1" objects="1" scenarios="1"/>
  <sortState xmlns:xlrd2="http://schemas.microsoft.com/office/spreadsheetml/2017/richdata2" ref="I64:J76">
    <sortCondition ref="I64:I76"/>
  </sortState>
  <dataConsolidate link="1"/>
  <mergeCells count="267">
    <mergeCell ref="AK28:AQ28"/>
    <mergeCell ref="AK29:AM29"/>
    <mergeCell ref="W72:AL76"/>
    <mergeCell ref="AJ8:AR9"/>
    <mergeCell ref="AJ1:AR6"/>
    <mergeCell ref="W63:AL71"/>
    <mergeCell ref="AJ35:AR36"/>
    <mergeCell ref="AO37:AQ38"/>
    <mergeCell ref="AQ43:AQ44"/>
    <mergeCell ref="AQ47:AQ48"/>
    <mergeCell ref="AQ51:AQ52"/>
    <mergeCell ref="AQ55:AQ56"/>
    <mergeCell ref="AQ59:AQ60"/>
    <mergeCell ref="AQ40:AQ41"/>
    <mergeCell ref="AO17:AP17"/>
    <mergeCell ref="AO18:AP18"/>
    <mergeCell ref="AO19:AP19"/>
    <mergeCell ref="AF30:AG30"/>
    <mergeCell ref="AO13:AQ14"/>
    <mergeCell ref="AO12:AQ12"/>
    <mergeCell ref="AK12:AM12"/>
    <mergeCell ref="AK13:AM14"/>
    <mergeCell ref="AK15:AM15"/>
    <mergeCell ref="AK16:AL16"/>
    <mergeCell ref="AK19:AL19"/>
    <mergeCell ref="AO15:AQ15"/>
    <mergeCell ref="AM21:AQ21"/>
    <mergeCell ref="AM22:AQ22"/>
    <mergeCell ref="AM23:AQ23"/>
    <mergeCell ref="AK21:AL21"/>
    <mergeCell ref="AK22:AL22"/>
    <mergeCell ref="AK23:AL23"/>
    <mergeCell ref="AK25:AQ25"/>
    <mergeCell ref="AO16:AP16"/>
    <mergeCell ref="AK17:AL17"/>
    <mergeCell ref="AK18:AL18"/>
    <mergeCell ref="H29:H30"/>
    <mergeCell ref="I29:I30"/>
    <mergeCell ref="J29:J30"/>
    <mergeCell ref="K29:K30"/>
    <mergeCell ref="L29:L30"/>
    <mergeCell ref="M29:M30"/>
    <mergeCell ref="U29:W30"/>
    <mergeCell ref="X29:X30"/>
    <mergeCell ref="AJ43:AJ44"/>
    <mergeCell ref="Z29:Z30"/>
    <mergeCell ref="AA29:AA30"/>
    <mergeCell ref="AB29:AB30"/>
    <mergeCell ref="AC29:AC30"/>
    <mergeCell ref="AD29:AD30"/>
    <mergeCell ref="O30:P30"/>
    <mergeCell ref="AV86:AV87"/>
    <mergeCell ref="AW86:AW87"/>
    <mergeCell ref="AV79:AW84"/>
    <mergeCell ref="AM40:AN41"/>
    <mergeCell ref="AM43:AM44"/>
    <mergeCell ref="AN43:AN44"/>
    <mergeCell ref="AP61:AQ61"/>
    <mergeCell ref="AO41:AO42"/>
    <mergeCell ref="AP41:AP42"/>
    <mergeCell ref="AO39:AP40"/>
    <mergeCell ref="AM55:AM56"/>
    <mergeCell ref="AN55:AN56"/>
    <mergeCell ref="AM59:AM60"/>
    <mergeCell ref="AN59:AN60"/>
    <mergeCell ref="AM51:AM52"/>
    <mergeCell ref="AN51:AN52"/>
    <mergeCell ref="N74:T75"/>
    <mergeCell ref="AF25:AG25"/>
    <mergeCell ref="AF26:AG26"/>
    <mergeCell ref="AF28:AG28"/>
    <mergeCell ref="AF13:AG13"/>
    <mergeCell ref="T23:Z23"/>
    <mergeCell ref="D28:F28"/>
    <mergeCell ref="U28:W28"/>
    <mergeCell ref="W16:W17"/>
    <mergeCell ref="W13:X13"/>
    <mergeCell ref="Z13:AA13"/>
    <mergeCell ref="W14:X14"/>
    <mergeCell ref="Z14:AA14"/>
    <mergeCell ref="L14:M14"/>
    <mergeCell ref="I14:J14"/>
    <mergeCell ref="I13:J13"/>
    <mergeCell ref="Y16:Z16"/>
    <mergeCell ref="X16:X17"/>
    <mergeCell ref="F14:G14"/>
    <mergeCell ref="D27:F27"/>
    <mergeCell ref="U27:W27"/>
    <mergeCell ref="O23:Q23"/>
    <mergeCell ref="Z18:Z19"/>
    <mergeCell ref="Y18:Y19"/>
    <mergeCell ref="X18:X19"/>
    <mergeCell ref="U35:W35"/>
    <mergeCell ref="U36:W36"/>
    <mergeCell ref="G58:M58"/>
    <mergeCell ref="M70:M71"/>
    <mergeCell ref="M72:M73"/>
    <mergeCell ref="N64:T65"/>
    <mergeCell ref="N66:T67"/>
    <mergeCell ref="N68:T69"/>
    <mergeCell ref="N70:T71"/>
    <mergeCell ref="N72:T73"/>
    <mergeCell ref="U33:W33"/>
    <mergeCell ref="U32:W32"/>
    <mergeCell ref="V18:V19"/>
    <mergeCell ref="U18:U19"/>
    <mergeCell ref="O28:P28"/>
    <mergeCell ref="H18:H19"/>
    <mergeCell ref="V49:W49"/>
    <mergeCell ref="V53:W53"/>
    <mergeCell ref="V57:W57"/>
    <mergeCell ref="M64:M65"/>
    <mergeCell ref="I18:I19"/>
    <mergeCell ref="C23:I23"/>
    <mergeCell ref="D70:F70"/>
    <mergeCell ref="D71:F71"/>
    <mergeCell ref="N35:N36"/>
    <mergeCell ref="AK26:AM26"/>
    <mergeCell ref="AO26:AQ26"/>
    <mergeCell ref="AO29:AQ29"/>
    <mergeCell ref="E55:F55"/>
    <mergeCell ref="O55:P55"/>
    <mergeCell ref="E51:F51"/>
    <mergeCell ref="O51:P51"/>
    <mergeCell ref="AK43:AK44"/>
    <mergeCell ref="AL43:AL44"/>
    <mergeCell ref="AK40:AL41"/>
    <mergeCell ref="AL51:AL52"/>
    <mergeCell ref="AK55:AK56"/>
    <mergeCell ref="AL55:AL56"/>
    <mergeCell ref="AK31:AQ31"/>
    <mergeCell ref="AO32:AQ32"/>
    <mergeCell ref="AK32:AM32"/>
    <mergeCell ref="AM47:AM48"/>
    <mergeCell ref="AN47:AN48"/>
    <mergeCell ref="G50:M50"/>
    <mergeCell ref="O36:P39"/>
    <mergeCell ref="Y29:Y30"/>
    <mergeCell ref="AJ51:AJ52"/>
    <mergeCell ref="AJ55:AJ56"/>
    <mergeCell ref="AJ59:AJ60"/>
    <mergeCell ref="V60:W60"/>
    <mergeCell ref="V45:W45"/>
    <mergeCell ref="V48:W48"/>
    <mergeCell ref="AF61:AG61"/>
    <mergeCell ref="O43:P43"/>
    <mergeCell ref="D69:F69"/>
    <mergeCell ref="A8:A21"/>
    <mergeCell ref="A22:A40"/>
    <mergeCell ref="C8:Q9"/>
    <mergeCell ref="AF57:AG57"/>
    <mergeCell ref="D64:F64"/>
    <mergeCell ref="D65:F65"/>
    <mergeCell ref="AK59:AK60"/>
    <mergeCell ref="AL59:AL60"/>
    <mergeCell ref="AL45:AL46"/>
    <mergeCell ref="AK45:AK46"/>
    <mergeCell ref="V56:W56"/>
    <mergeCell ref="X58:AD58"/>
    <mergeCell ref="V59:W59"/>
    <mergeCell ref="V52:W52"/>
    <mergeCell ref="X54:AD54"/>
    <mergeCell ref="V55:W55"/>
    <mergeCell ref="X50:AD50"/>
    <mergeCell ref="V51:W51"/>
    <mergeCell ref="X46:AD46"/>
    <mergeCell ref="V47:W47"/>
    <mergeCell ref="AK47:AK48"/>
    <mergeCell ref="AL47:AL48"/>
    <mergeCell ref="AK51:AK52"/>
    <mergeCell ref="AJ47:AJ48"/>
    <mergeCell ref="AF53:AG53"/>
    <mergeCell ref="AF59:AG59"/>
    <mergeCell ref="AF60:AG60"/>
    <mergeCell ref="M68:M69"/>
    <mergeCell ref="M74:M75"/>
    <mergeCell ref="AF43:AG43"/>
    <mergeCell ref="AF44:AG44"/>
    <mergeCell ref="AF45:AG45"/>
    <mergeCell ref="AF47:AG47"/>
    <mergeCell ref="AF48:AG48"/>
    <mergeCell ref="AF49:AG49"/>
    <mergeCell ref="AF52:AG52"/>
    <mergeCell ref="D66:F66"/>
    <mergeCell ref="D67:F67"/>
    <mergeCell ref="D68:F68"/>
    <mergeCell ref="AF23:AH23"/>
    <mergeCell ref="T8:AH9"/>
    <mergeCell ref="AE37:AE38"/>
    <mergeCell ref="O56:P56"/>
    <mergeCell ref="AF55:AG55"/>
    <mergeCell ref="U42:V44"/>
    <mergeCell ref="AF51:AG51"/>
    <mergeCell ref="T11:X11"/>
    <mergeCell ref="S8:S9"/>
    <mergeCell ref="AC13:AD13"/>
    <mergeCell ref="AC14:AD14"/>
    <mergeCell ref="AF14:AG14"/>
    <mergeCell ref="AE35:AE36"/>
    <mergeCell ref="AE33:AE34"/>
    <mergeCell ref="O52:P52"/>
    <mergeCell ref="O47:P47"/>
    <mergeCell ref="O48:P48"/>
    <mergeCell ref="AF36:AG39"/>
    <mergeCell ref="X42:AD42"/>
    <mergeCell ref="V31:W31"/>
    <mergeCell ref="O44:P44"/>
    <mergeCell ref="M66:M67"/>
    <mergeCell ref="U25:W25"/>
    <mergeCell ref="V26:W26"/>
    <mergeCell ref="T27:T31"/>
    <mergeCell ref="L13:M13"/>
    <mergeCell ref="O13:P13"/>
    <mergeCell ref="O25:P25"/>
    <mergeCell ref="O14:P14"/>
    <mergeCell ref="U13:V17"/>
    <mergeCell ref="T32:T34"/>
    <mergeCell ref="W18:W19"/>
    <mergeCell ref="O59:P59"/>
    <mergeCell ref="O60:P60"/>
    <mergeCell ref="U37:W37"/>
    <mergeCell ref="U38:W38"/>
    <mergeCell ref="T35:T39"/>
    <mergeCell ref="O26:P26"/>
    <mergeCell ref="B8:B9"/>
    <mergeCell ref="G16:G17"/>
    <mergeCell ref="C27:C31"/>
    <mergeCell ref="C32:C34"/>
    <mergeCell ref="C35:C39"/>
    <mergeCell ref="D37:F37"/>
    <mergeCell ref="D38:F38"/>
    <mergeCell ref="D25:F25"/>
    <mergeCell ref="F13:G13"/>
    <mergeCell ref="D29:F30"/>
    <mergeCell ref="D18:D19"/>
    <mergeCell ref="E18:E19"/>
    <mergeCell ref="E26:F26"/>
    <mergeCell ref="G18:G19"/>
    <mergeCell ref="D13:E17"/>
    <mergeCell ref="F16:F17"/>
    <mergeCell ref="F18:F19"/>
    <mergeCell ref="E31:F31"/>
    <mergeCell ref="G29:G30"/>
    <mergeCell ref="A1:AC4"/>
    <mergeCell ref="A5:O6"/>
    <mergeCell ref="AE3:AG5"/>
    <mergeCell ref="A41:A61"/>
    <mergeCell ref="N32:N33"/>
    <mergeCell ref="E59:F59"/>
    <mergeCell ref="E60:F60"/>
    <mergeCell ref="E52:F52"/>
    <mergeCell ref="D35:F35"/>
    <mergeCell ref="G54:M54"/>
    <mergeCell ref="E47:F47"/>
    <mergeCell ref="E48:F48"/>
    <mergeCell ref="E56:F56"/>
    <mergeCell ref="D33:F33"/>
    <mergeCell ref="D32:F32"/>
    <mergeCell ref="D36:F36"/>
    <mergeCell ref="G42:M42"/>
    <mergeCell ref="G46:M46"/>
    <mergeCell ref="D42:E44"/>
    <mergeCell ref="N37:N38"/>
    <mergeCell ref="C11:G11"/>
    <mergeCell ref="H16:I16"/>
    <mergeCell ref="V61:W61"/>
    <mergeCell ref="AF56:AG56"/>
  </mergeCells>
  <phoneticPr fontId="8" type="noConversion"/>
  <conditionalFormatting sqref="D27:D28">
    <cfRule type="expression" dxfId="79" priority="353">
      <formula>$O$27="Default"</formula>
    </cfRule>
  </conditionalFormatting>
  <conditionalFormatting sqref="D29">
    <cfRule type="expression" dxfId="78" priority="352">
      <formula>$O$27="Manual entry"</formula>
    </cfRule>
  </conditionalFormatting>
  <conditionalFormatting sqref="D37">
    <cfRule type="expression" dxfId="77" priority="356">
      <formula>$O$29="Default"</formula>
    </cfRule>
  </conditionalFormatting>
  <conditionalFormatting sqref="D38">
    <cfRule type="expression" dxfId="76" priority="357">
      <formula>$O$29="Manual entry"</formula>
    </cfRule>
  </conditionalFormatting>
  <conditionalFormatting sqref="D13:E17">
    <cfRule type="containsText" dxfId="75" priority="163" operator="containsText" text="exist">
      <formula>NOT(ISERROR(SEARCH("exist",D13)))</formula>
    </cfRule>
  </conditionalFormatting>
  <conditionalFormatting sqref="D42:E44">
    <cfRule type="containsText" dxfId="74" priority="159" operator="containsText" text="Check">
      <formula>NOT(ISERROR(SEARCH("Check",D42)))</formula>
    </cfRule>
  </conditionalFormatting>
  <conditionalFormatting sqref="D29:F29">
    <cfRule type="expression" dxfId="73" priority="354">
      <formula>$O$27="Default"</formula>
    </cfRule>
  </conditionalFormatting>
  <conditionalFormatting sqref="D33:F33">
    <cfRule type="expression" dxfId="72" priority="89">
      <formula>$G$32="HML only"</formula>
    </cfRule>
  </conditionalFormatting>
  <conditionalFormatting sqref="D37:F37">
    <cfRule type="expression" dxfId="71" priority="360">
      <formula>$O$29="Manual entry"</formula>
    </cfRule>
  </conditionalFormatting>
  <conditionalFormatting sqref="D38:F38">
    <cfRule type="expression" dxfId="70" priority="359">
      <formula>$O$29="Default"</formula>
    </cfRule>
  </conditionalFormatting>
  <conditionalFormatting sqref="G29:M30">
    <cfRule type="expression" dxfId="69" priority="19">
      <formula>$O$27="Default"</formula>
    </cfRule>
  </conditionalFormatting>
  <conditionalFormatting sqref="G33:M33">
    <cfRule type="expression" dxfId="68" priority="92">
      <formula>$L$14&lt;&gt;"HML"</formula>
    </cfRule>
  </conditionalFormatting>
  <conditionalFormatting sqref="G35:M36">
    <cfRule type="containsText" dxfId="67" priority="183" operator="containsText" text="Check">
      <formula>NOT(ISERROR(SEARCH("Check",G35)))</formula>
    </cfRule>
  </conditionalFormatting>
  <conditionalFormatting sqref="G38:M38">
    <cfRule type="expression" dxfId="66" priority="358">
      <formula>$O$29="Default"</formula>
    </cfRule>
  </conditionalFormatting>
  <conditionalFormatting sqref="N32:N33">
    <cfRule type="containsText" dxfId="65" priority="162" operator="containsText" text="HML">
      <formula>NOT(ISERROR(SEARCH("HML",N32)))</formula>
    </cfRule>
  </conditionalFormatting>
  <conditionalFormatting sqref="O33">
    <cfRule type="expression" dxfId="64" priority="237">
      <formula>$O$31="Default"</formula>
    </cfRule>
  </conditionalFormatting>
  <conditionalFormatting sqref="U37">
    <cfRule type="expression" dxfId="63" priority="328">
      <formula>$AF$29="Default"</formula>
    </cfRule>
  </conditionalFormatting>
  <conditionalFormatting sqref="U38">
    <cfRule type="expression" dxfId="62" priority="329">
      <formula>$AF$29="Manual entry"</formula>
    </cfRule>
  </conditionalFormatting>
  <conditionalFormatting sqref="U13:V17">
    <cfRule type="containsText" dxfId="61" priority="164" operator="containsText" text="exist">
      <formula>NOT(ISERROR(SEARCH("exist",U13)))</formula>
    </cfRule>
  </conditionalFormatting>
  <conditionalFormatting sqref="U42:V44">
    <cfRule type="containsText" dxfId="60" priority="160" operator="containsText" text="Check">
      <formula>NOT(ISERROR(SEARCH("Check",U42)))</formula>
    </cfRule>
  </conditionalFormatting>
  <conditionalFormatting sqref="U27:W28">
    <cfRule type="expression" dxfId="59" priority="179">
      <formula>$AF$27="Default"</formula>
    </cfRule>
  </conditionalFormatting>
  <conditionalFormatting sqref="U29:W29">
    <cfRule type="expression" dxfId="58" priority="178">
      <formula>$AF$27="Default"</formula>
    </cfRule>
    <cfRule type="expression" dxfId="57" priority="177">
      <formula>$AF$27="Manual entry"</formula>
    </cfRule>
  </conditionalFormatting>
  <conditionalFormatting sqref="U33:W33">
    <cfRule type="expression" dxfId="56" priority="88">
      <formula>$X$32="HML only"</formula>
    </cfRule>
  </conditionalFormatting>
  <conditionalFormatting sqref="U37:W37">
    <cfRule type="expression" dxfId="55" priority="332">
      <formula>$AF$29="Manual entry"</formula>
    </cfRule>
  </conditionalFormatting>
  <conditionalFormatting sqref="U38:W38">
    <cfRule type="expression" dxfId="54" priority="331">
      <formula>$AF$29="Default"</formula>
    </cfRule>
  </conditionalFormatting>
  <conditionalFormatting sqref="X29:AD30">
    <cfRule type="expression" dxfId="53" priority="18">
      <formula>$AF$27="Default"</formula>
    </cfRule>
  </conditionalFormatting>
  <conditionalFormatting sqref="X33:AD33">
    <cfRule type="expression" dxfId="52" priority="91">
      <formula>$AC$14&lt;&gt;"HML"</formula>
    </cfRule>
  </conditionalFormatting>
  <conditionalFormatting sqref="X35:AD35">
    <cfRule type="containsText" dxfId="51" priority="184" operator="containsText" text="Check">
      <formula>NOT(ISERROR(SEARCH("Check",X35)))</formula>
    </cfRule>
  </conditionalFormatting>
  <conditionalFormatting sqref="X38:AD38">
    <cfRule type="expression" dxfId="50" priority="330">
      <formula>$AF$29="Default"</formula>
    </cfRule>
  </conditionalFormatting>
  <conditionalFormatting sqref="X45:AD45">
    <cfRule type="containsBlanks" dxfId="49" priority="165">
      <formula>LEN(TRIM(X45))=0</formula>
    </cfRule>
    <cfRule type="cellIs" dxfId="48" priority="167" operator="greaterThan">
      <formula>0</formula>
    </cfRule>
    <cfRule type="cellIs" dxfId="47" priority="166" operator="lessThan">
      <formula>0</formula>
    </cfRule>
  </conditionalFormatting>
  <conditionalFormatting sqref="X49:AD49">
    <cfRule type="cellIs" dxfId="46" priority="170" operator="greaterThan">
      <formula>0</formula>
    </cfRule>
    <cfRule type="cellIs" dxfId="45" priority="169" operator="lessThan">
      <formula>0</formula>
    </cfRule>
    <cfRule type="containsBlanks" dxfId="44" priority="168">
      <formula>LEN(TRIM(X49))=0</formula>
    </cfRule>
  </conditionalFormatting>
  <conditionalFormatting sqref="X53:AD53">
    <cfRule type="cellIs" dxfId="43" priority="172" operator="lessThan">
      <formula>0</formula>
    </cfRule>
    <cfRule type="containsBlanks" dxfId="42" priority="171">
      <formula>LEN(TRIM(X53))=0</formula>
    </cfRule>
    <cfRule type="cellIs" dxfId="41" priority="173" operator="greaterThan">
      <formula>0</formula>
    </cfRule>
  </conditionalFormatting>
  <conditionalFormatting sqref="X57:AD57">
    <cfRule type="cellIs" dxfId="40" priority="176" operator="greaterThan">
      <formula>0</formula>
    </cfRule>
    <cfRule type="containsBlanks" dxfId="39" priority="174">
      <formula>LEN(TRIM(X57))=0</formula>
    </cfRule>
    <cfRule type="cellIs" dxfId="38" priority="175" operator="lessThan">
      <formula>0</formula>
    </cfRule>
  </conditionalFormatting>
  <conditionalFormatting sqref="X61:AD61">
    <cfRule type="cellIs" dxfId="37" priority="267" operator="greaterThan">
      <formula>0</formula>
    </cfRule>
    <cfRule type="containsBlanks" dxfId="36" priority="206">
      <formula>LEN(TRIM(X61))=0</formula>
    </cfRule>
    <cfRule type="cellIs" dxfId="35" priority="207" operator="lessThan">
      <formula>0</formula>
    </cfRule>
  </conditionalFormatting>
  <conditionalFormatting sqref="AE33:AE34">
    <cfRule type="containsText" dxfId="34" priority="161" operator="containsText" text="HML">
      <formula>NOT(ISERROR(SEARCH("HML",AE33)))</formula>
    </cfRule>
  </conditionalFormatting>
  <conditionalFormatting sqref="AF33">
    <cfRule type="expression" dxfId="33" priority="218">
      <formula>$AF$31="Default"</formula>
    </cfRule>
  </conditionalFormatting>
  <conditionalFormatting sqref="AF45">
    <cfRule type="containsBlanks" dxfId="32" priority="129">
      <formula>LEN(TRIM(AF45))=0</formula>
    </cfRule>
    <cfRule type="cellIs" dxfId="31" priority="131" operator="greaterThan">
      <formula>0</formula>
    </cfRule>
    <cfRule type="cellIs" dxfId="30" priority="130" operator="lessThan">
      <formula>0</formula>
    </cfRule>
  </conditionalFormatting>
  <conditionalFormatting sqref="AF49">
    <cfRule type="containsBlanks" dxfId="29" priority="126">
      <formula>LEN(TRIM(AF49))=0</formula>
    </cfRule>
    <cfRule type="cellIs" dxfId="28" priority="127" operator="lessThan">
      <formula>0</formula>
    </cfRule>
    <cfRule type="cellIs" dxfId="27" priority="128" operator="greaterThan">
      <formula>0</formula>
    </cfRule>
  </conditionalFormatting>
  <conditionalFormatting sqref="AF53">
    <cfRule type="cellIs" dxfId="26" priority="124" operator="lessThan">
      <formula>0</formula>
    </cfRule>
    <cfRule type="cellIs" dxfId="25" priority="125" operator="greaterThan">
      <formula>0</formula>
    </cfRule>
    <cfRule type="containsBlanks" dxfId="24" priority="123">
      <formula>LEN(TRIM(AF53))=0</formula>
    </cfRule>
  </conditionalFormatting>
  <conditionalFormatting sqref="AF57">
    <cfRule type="cellIs" dxfId="23" priority="122" operator="greaterThan">
      <formula>0</formula>
    </cfRule>
    <cfRule type="cellIs" dxfId="22" priority="121" operator="lessThan">
      <formula>0</formula>
    </cfRule>
    <cfRule type="containsBlanks" dxfId="21" priority="120">
      <formula>LEN(TRIM(AF57))=0</formula>
    </cfRule>
  </conditionalFormatting>
  <conditionalFormatting sqref="AF61">
    <cfRule type="cellIs" dxfId="20" priority="119" operator="greaterThan">
      <formula>0</formula>
    </cfRule>
    <cfRule type="cellIs" dxfId="19" priority="118" operator="lessThan">
      <formula>0</formula>
    </cfRule>
    <cfRule type="containsBlanks" dxfId="18" priority="117">
      <formula>LEN(TRIM(AF61))=0</formula>
    </cfRule>
  </conditionalFormatting>
  <conditionalFormatting sqref="AK43:AL44">
    <cfRule type="colorScale" priority="108">
      <colorScale>
        <cfvo type="min"/>
        <cfvo type="max"/>
        <color rgb="FFFF9999"/>
        <color rgb="FFCCFF99"/>
      </colorScale>
    </cfRule>
    <cfRule type="expression" dxfId="17" priority="103">
      <formula>$AL$43=$AK$43</formula>
    </cfRule>
  </conditionalFormatting>
  <conditionalFormatting sqref="AK45:AL46">
    <cfRule type="containsText" dxfId="16" priority="93" operator="containsText" text="ERROR">
      <formula>NOT(ISERROR(SEARCH("ERROR",AK45)))</formula>
    </cfRule>
  </conditionalFormatting>
  <conditionalFormatting sqref="AK47:AL48">
    <cfRule type="expression" dxfId="15" priority="101">
      <formula>$AL$47=$AK$47</formula>
    </cfRule>
    <cfRule type="colorScale" priority="102">
      <colorScale>
        <cfvo type="min"/>
        <cfvo type="max"/>
        <color rgb="FFFF9999"/>
        <color rgb="FFCCFF99"/>
      </colorScale>
    </cfRule>
  </conditionalFormatting>
  <conditionalFormatting sqref="AK51:AL52">
    <cfRule type="colorScale" priority="100">
      <colorScale>
        <cfvo type="min"/>
        <cfvo type="max"/>
        <color rgb="FFFF9999"/>
        <color rgb="FFCCFF99"/>
      </colorScale>
    </cfRule>
    <cfRule type="expression" dxfId="14" priority="99">
      <formula>$AL$51=$AK$51</formula>
    </cfRule>
  </conditionalFormatting>
  <conditionalFormatting sqref="AK55:AL56">
    <cfRule type="colorScale" priority="98">
      <colorScale>
        <cfvo type="min"/>
        <cfvo type="max"/>
        <color rgb="FFFF9999"/>
        <color rgb="FFCCFF99"/>
      </colorScale>
    </cfRule>
    <cfRule type="expression" dxfId="13" priority="97">
      <formula>$AL$55=$AK$55</formula>
    </cfRule>
  </conditionalFormatting>
  <conditionalFormatting sqref="AK59:AL60">
    <cfRule type="colorScale" priority="96">
      <colorScale>
        <cfvo type="min"/>
        <cfvo type="max"/>
        <color rgb="FFFF9999"/>
        <color rgb="FFCCFF99"/>
      </colorScale>
    </cfRule>
    <cfRule type="expression" dxfId="12" priority="95">
      <formula>$AL$59=$AK$59</formula>
    </cfRule>
  </conditionalFormatting>
  <conditionalFormatting sqref="AM43:AN44">
    <cfRule type="colorScale" priority="141">
      <colorScale>
        <cfvo type="min"/>
        <cfvo type="max"/>
        <color rgb="FFCCFF99"/>
        <color rgb="FFFF9999"/>
      </colorScale>
    </cfRule>
    <cfRule type="expression" dxfId="11" priority="113">
      <formula>$AN$43=$AM$43</formula>
    </cfRule>
  </conditionalFormatting>
  <conditionalFormatting sqref="AM47:AN48">
    <cfRule type="colorScale" priority="8">
      <colorScale>
        <cfvo type="min"/>
        <cfvo type="max"/>
        <color rgb="FFCCFF99"/>
        <color rgb="FFFF9999"/>
      </colorScale>
    </cfRule>
    <cfRule type="expression" dxfId="10" priority="7">
      <formula>$AN$47=$AM$47</formula>
    </cfRule>
  </conditionalFormatting>
  <conditionalFormatting sqref="AM51:AN52">
    <cfRule type="colorScale" priority="6">
      <colorScale>
        <cfvo type="min"/>
        <cfvo type="max"/>
        <color rgb="FFCCFF99"/>
        <color rgb="FFFF9999"/>
      </colorScale>
    </cfRule>
    <cfRule type="expression" dxfId="9" priority="5">
      <formula>$AN$51=$AM$51</formula>
    </cfRule>
  </conditionalFormatting>
  <conditionalFormatting sqref="AM55:AN56">
    <cfRule type="colorScale" priority="4">
      <colorScale>
        <cfvo type="min"/>
        <cfvo type="max"/>
        <color rgb="FFCCFF99"/>
        <color rgb="FFFF9999"/>
      </colorScale>
    </cfRule>
    <cfRule type="expression" dxfId="8" priority="3">
      <formula>$AN$55=$AM$55</formula>
    </cfRule>
  </conditionalFormatting>
  <conditionalFormatting sqref="AM59:AN60">
    <cfRule type="expression" dxfId="7" priority="1">
      <formula>$AN$59=$AM$59</formula>
    </cfRule>
    <cfRule type="colorScale" priority="2">
      <colorScale>
        <cfvo type="min"/>
        <cfvo type="max"/>
        <color rgb="FFCCFF99"/>
        <color rgb="FFFF9999"/>
      </colorScale>
    </cfRule>
  </conditionalFormatting>
  <conditionalFormatting sqref="AN13:AN19">
    <cfRule type="containsText" dxfId="6" priority="142" operator="containsText" text="ERROR">
      <formula>NOT(ISERROR(SEARCH("ERROR",AN13)))</formula>
    </cfRule>
  </conditionalFormatting>
  <conditionalFormatting sqref="AO43 AO47 AO51 AO55 AO59">
    <cfRule type="expression" dxfId="5" priority="373">
      <formula>$AO$41="Manual entry"</formula>
    </cfRule>
  </conditionalFormatting>
  <conditionalFormatting sqref="AO44 AO48 AO52 AO56 AO60">
    <cfRule type="expression" dxfId="4" priority="378">
      <formula>$AO$41="Default"</formula>
    </cfRule>
  </conditionalFormatting>
  <conditionalFormatting sqref="AO39:AP40">
    <cfRule type="containsText" dxfId="3" priority="9" operator="containsText" text="ERROR">
      <formula>NOT(ISERROR(SEARCH("ERROR",AO39)))</formula>
    </cfRule>
  </conditionalFormatting>
  <hyperlinks>
    <hyperlink ref="V18" r:id="rId1" xr:uid="{73F60FE3-4E48-420C-BF01-3F9F42BD544B}"/>
    <hyperlink ref="U18" r:id="rId2" xr:uid="{54789C8D-CA17-495D-B0DB-B09EE686C597}"/>
    <hyperlink ref="E18" r:id="rId3" xr:uid="{A00F4529-8469-4760-B56C-4AB17687C4C2}"/>
    <hyperlink ref="D18" r:id="rId4" xr:uid="{A4F84407-AC7F-484E-AF88-8246425AECAF}"/>
    <hyperlink ref="AE3:AG5" r:id="rId5" display="User guide" xr:uid="{20090B91-E6D1-43FC-B8E3-4E717BA10E56}"/>
  </hyperlinks>
  <pageMargins left="0.7" right="0.7" top="0.75" bottom="0.75" header="0.3" footer="0.3"/>
  <pageSetup paperSize="170" scale="63" orientation="landscape" r:id="rId6"/>
  <drawing r:id="rId7"/>
  <legacyDrawing r:id="rId8"/>
  <extLst>
    <ext xmlns:x14="http://schemas.microsoft.com/office/spreadsheetml/2009/9/main" uri="{CCE6A557-97BC-4b89-ADB6-D9C93CAAB3DF}">
      <x14:dataValidations xmlns:xm="http://schemas.microsoft.com/office/excel/2006/main" count="12">
        <x14:dataValidation type="list" allowBlank="1" showInputMessage="1" showErrorMessage="1" xr:uid="{E2241E99-808A-4B97-B38D-665999F4B1D2}">
          <x14:formula1>
            <xm:f>'Dropdown menus'!$D$4:$D$5</xm:f>
          </x14:formula1>
          <xm:sqref>O31 AF31</xm:sqref>
        </x14:dataValidation>
        <x14:dataValidation type="list" allowBlank="1" showInputMessage="1" showErrorMessage="1" xr:uid="{5608C0C1-DDC6-4EE5-B593-EA5D4222EDD8}">
          <x14:formula1>
            <xm:f>'Dropdown menus'!$J$4:$J$5</xm:f>
          </x14:formula1>
          <xm:sqref>F14:G14 W14:X14</xm:sqref>
        </x14:dataValidation>
        <x14:dataValidation type="list" allowBlank="1" showInputMessage="1" showErrorMessage="1" xr:uid="{11625A6C-2172-41EE-A407-8D453E9A8E5F}">
          <x14:formula1>
            <xm:f>'Dropdown menus'!$O$4:$O$39</xm:f>
          </x14:formula1>
          <xm:sqref>I14:J14</xm:sqref>
        </x14:dataValidation>
        <x14:dataValidation type="list" allowBlank="1" showInputMessage="1" showErrorMessage="1" xr:uid="{FA057C73-2235-4DAC-B5D2-86039B225921}">
          <x14:formula1>
            <xm:f>'Dropdown menus'!$S$5:$S$7</xm:f>
          </x14:formula1>
          <xm:sqref>L14:M14</xm:sqref>
        </x14:dataValidation>
        <x14:dataValidation type="list" allowBlank="1" showInputMessage="1" showErrorMessage="1" xr:uid="{448AD1D3-494B-4956-B666-9AE8D3646C1F}">
          <x14:formula1>
            <xm:f>'Dropdown menus'!$S$12:$S$16</xm:f>
          </x14:formula1>
          <xm:sqref>O14:P14</xm:sqref>
        </x14:dataValidation>
        <x14:dataValidation type="list" allowBlank="1" showInputMessage="1" showErrorMessage="1" xr:uid="{AE895434-24EB-4C87-A9D2-10B1FA72AE1A}">
          <x14:formula1>
            <xm:f>'Dropdown menus'!$P$4:$P$39</xm:f>
          </x14:formula1>
          <xm:sqref>Z14:AA14</xm:sqref>
        </x14:dataValidation>
        <x14:dataValidation type="list" allowBlank="1" showInputMessage="1" showErrorMessage="1" xr:uid="{E587AD0A-82F7-4101-9195-9322042A2C91}">
          <x14:formula1>
            <xm:f>'Dropdown menus'!$T$5:$T$7</xm:f>
          </x14:formula1>
          <xm:sqref>AC14:AD14</xm:sqref>
        </x14:dataValidation>
        <x14:dataValidation type="list" allowBlank="1" showInputMessage="1" showErrorMessage="1" xr:uid="{BCF09F3E-6807-4B39-9E88-65A680921668}">
          <x14:formula1>
            <xm:f>'Dropdown menus'!$E$4:$E$5</xm:f>
          </x14:formula1>
          <xm:sqref>O27 O29 AF29 AF27</xm:sqref>
        </x14:dataValidation>
        <x14:dataValidation type="list" allowBlank="1" showInputMessage="1" showErrorMessage="1" xr:uid="{3CC0D05A-BD8C-47A4-ABAC-2BF1E100167F}">
          <x14:formula1>
            <xm:f>'Dropdown menus'!$T$12:$T$16</xm:f>
          </x14:formula1>
          <xm:sqref>AF14:AH14</xm:sqref>
        </x14:dataValidation>
        <x14:dataValidation type="list" allowBlank="1" showInputMessage="1" showErrorMessage="1" xr:uid="{3EBA4AC7-E7D7-4BFB-9B21-FCE45A412699}">
          <x14:formula1>
            <xm:f>'Dropdown menus'!$C$4:$C$5</xm:f>
          </x14:formula1>
          <xm:sqref>X33:AD33 G33:M33</xm:sqref>
        </x14:dataValidation>
        <x14:dataValidation type="list" allowBlank="1" showInputMessage="1" showErrorMessage="1" xr:uid="{47EF570B-A3B4-4AED-8B83-9E0AD9C92909}">
          <x14:formula1>
            <xm:f>'Dropdown menus'!$B$4:$B$27</xm:f>
          </x14:formula1>
          <xm:sqref>G29:M29 X29:AD29</xm:sqref>
        </x14:dataValidation>
        <x14:dataValidation type="list" allowBlank="1" showInputMessage="1" showErrorMessage="1" xr:uid="{E39A9EC6-1EBD-4135-A9E4-A55248409900}">
          <x14:formula1>
            <xm:f>'Dropdown menus'!$F$4:$F$10</xm:f>
          </x14:formula1>
          <xm:sqref>AO41:AO42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79B37-5DC0-445B-B76A-F53707346AB5}">
  <sheetPr codeName="Sheet2">
    <tabColor theme="3" tint="0.79998168889431442"/>
  </sheetPr>
  <dimension ref="B3:J81"/>
  <sheetViews>
    <sheetView showGridLines="0" zoomScale="55" zoomScaleNormal="55" workbookViewId="0">
      <pane ySplit="3" topLeftCell="A4" activePane="bottomLeft" state="frozen"/>
      <selection activeCell="H31" sqref="H31"/>
      <selection pane="bottomLeft" activeCell="F33" sqref="F33"/>
    </sheetView>
  </sheetViews>
  <sheetFormatPr defaultRowHeight="17" customHeight="1" x14ac:dyDescent="0.35"/>
  <cols>
    <col min="2" max="2" width="73.1796875" bestFit="1" customWidth="1"/>
    <col min="3" max="3" width="34.90625" bestFit="1" customWidth="1"/>
    <col min="4" max="4" width="35.81640625" bestFit="1" customWidth="1"/>
    <col min="5" max="5" width="51.26953125" customWidth="1"/>
    <col min="6" max="6" width="32.81640625" bestFit="1" customWidth="1"/>
    <col min="7" max="7" width="30" bestFit="1" customWidth="1"/>
    <col min="8" max="8" width="49.453125" customWidth="1"/>
    <col min="9" max="9" width="53.26953125" customWidth="1"/>
    <col min="10" max="10" width="66.08984375" bestFit="1" customWidth="1"/>
    <col min="11" max="11" width="58.54296875" bestFit="1" customWidth="1"/>
    <col min="12" max="12" width="19.1796875" bestFit="1" customWidth="1"/>
    <col min="13" max="13" width="19.1796875" customWidth="1"/>
  </cols>
  <sheetData>
    <row r="3" spans="2:10" ht="17" customHeight="1" x14ac:dyDescent="0.35">
      <c r="B3" s="190" t="s">
        <v>1</v>
      </c>
      <c r="C3" s="191" t="s">
        <v>335</v>
      </c>
      <c r="D3" s="191" t="s">
        <v>336</v>
      </c>
      <c r="E3" s="191" t="s">
        <v>308</v>
      </c>
      <c r="F3" s="191" t="s">
        <v>13</v>
      </c>
      <c r="G3" s="191" t="s">
        <v>14</v>
      </c>
      <c r="H3" s="191" t="s">
        <v>116</v>
      </c>
      <c r="I3" s="191" t="s">
        <v>15</v>
      </c>
      <c r="J3" s="192" t="s">
        <v>16</v>
      </c>
    </row>
    <row r="4" spans="2:10" ht="17" customHeight="1" x14ac:dyDescent="0.35">
      <c r="B4" s="193" t="s">
        <v>19</v>
      </c>
      <c r="C4" s="194" t="s">
        <v>8</v>
      </c>
      <c r="D4" s="194" t="s">
        <v>256</v>
      </c>
      <c r="E4" s="194" t="str">
        <f>IF(Axle_Data[[#This Row],[Tyre Size]]="n/a",Axle_Data[[#This Row],[Axle Code]],CONCATENATE(Axle_Data[[#This Row],[Axle Code]],": ",Axle_Data[[#This Row],[Tyre Size]]))</f>
        <v>SAST: &lt; 350mm</v>
      </c>
      <c r="F4" s="194" t="s">
        <v>18</v>
      </c>
      <c r="G4" s="216">
        <v>5.4044959288000003</v>
      </c>
      <c r="H4" s="195">
        <v>6.5</v>
      </c>
      <c r="I4" s="195"/>
      <c r="J4" s="196"/>
    </row>
    <row r="5" spans="2:10" ht="17" customHeight="1" x14ac:dyDescent="0.35">
      <c r="B5" s="193" t="s">
        <v>19</v>
      </c>
      <c r="C5" s="194" t="s">
        <v>8</v>
      </c>
      <c r="D5" s="194" t="s">
        <v>256</v>
      </c>
      <c r="E5" s="194" t="str">
        <f>IF(Axle_Data[[#This Row],[Tyre Size]]="n/a",Axle_Data[[#This Row],[Axle Code]],CONCATENATE(Axle_Data[[#This Row],[Axle Code]],": ",Axle_Data[[#This Row],[Tyre Size]]))</f>
        <v>SAST: &lt; 350mm</v>
      </c>
      <c r="F5" s="194" t="s">
        <v>20</v>
      </c>
      <c r="G5" s="216">
        <v>5.4044959288000003</v>
      </c>
      <c r="H5" s="195">
        <v>6.5</v>
      </c>
      <c r="I5" s="195"/>
      <c r="J5" s="196"/>
    </row>
    <row r="6" spans="2:10" ht="17" customHeight="1" x14ac:dyDescent="0.35">
      <c r="B6" s="193" t="s">
        <v>19</v>
      </c>
      <c r="C6" s="194" t="s">
        <v>8</v>
      </c>
      <c r="D6" s="194" t="s">
        <v>256</v>
      </c>
      <c r="E6" s="194" t="str">
        <f>IF(Axle_Data[[#This Row],[Tyre Size]]="n/a",Axle_Data[[#This Row],[Axle Code]],CONCATENATE(Axle_Data[[#This Row],[Axle Code]],": ",Axle_Data[[#This Row],[Tyre Size]]))</f>
        <v>SAST: &lt; 350mm</v>
      </c>
      <c r="F6" s="194" t="s">
        <v>7</v>
      </c>
      <c r="G6" s="216">
        <v>5.4044959288000003</v>
      </c>
      <c r="H6" s="195">
        <v>6.5</v>
      </c>
      <c r="I6" s="195">
        <v>1</v>
      </c>
      <c r="J6" s="196" t="s">
        <v>22</v>
      </c>
    </row>
    <row r="7" spans="2:10" ht="17" customHeight="1" x14ac:dyDescent="0.35">
      <c r="B7" s="197" t="s">
        <v>21</v>
      </c>
      <c r="C7" s="198" t="s">
        <v>8</v>
      </c>
      <c r="D7" s="198" t="s">
        <v>257</v>
      </c>
      <c r="E7" s="198" t="str">
        <f>IF(Axle_Data[[#This Row],[Tyre Size]]="n/a",Axle_Data[[#This Row],[Axle Code]],CONCATENATE(Axle_Data[[#This Row],[Axle Code]],": ",Axle_Data[[#This Row],[Tyre Size]]))</f>
        <v>SAST: 375 - 450mm</v>
      </c>
      <c r="F7" s="198" t="s">
        <v>18</v>
      </c>
      <c r="G7" s="217">
        <v>5.9143540352999997</v>
      </c>
      <c r="H7" s="199">
        <v>6.7</v>
      </c>
      <c r="I7" s="199"/>
      <c r="J7" s="200"/>
    </row>
    <row r="8" spans="2:10" ht="17" customHeight="1" x14ac:dyDescent="0.35">
      <c r="B8" s="197" t="s">
        <v>21</v>
      </c>
      <c r="C8" s="198" t="s">
        <v>8</v>
      </c>
      <c r="D8" s="198" t="s">
        <v>257</v>
      </c>
      <c r="E8" s="198" t="str">
        <f>IF(Axle_Data[[#This Row],[Tyre Size]]="n/a",Axle_Data[[#This Row],[Axle Code]],CONCATENATE(Axle_Data[[#This Row],[Axle Code]],": ",Axle_Data[[#This Row],[Tyre Size]]))</f>
        <v>SAST: 375 - 450mm</v>
      </c>
      <c r="F8" s="198" t="s">
        <v>20</v>
      </c>
      <c r="G8" s="217">
        <v>5.9143540352999997</v>
      </c>
      <c r="H8" s="199">
        <v>6.7</v>
      </c>
      <c r="I8" s="199"/>
      <c r="J8" s="200"/>
    </row>
    <row r="9" spans="2:10" ht="17" customHeight="1" x14ac:dyDescent="0.35">
      <c r="B9" s="197" t="s">
        <v>21</v>
      </c>
      <c r="C9" s="198" t="s">
        <v>8</v>
      </c>
      <c r="D9" s="198" t="s">
        <v>257</v>
      </c>
      <c r="E9" s="198" t="str">
        <f>IF(Axle_Data[[#This Row],[Tyre Size]]="n/a",Axle_Data[[#This Row],[Axle Code]],CONCATENATE(Axle_Data[[#This Row],[Axle Code]],": ",Axle_Data[[#This Row],[Tyre Size]]))</f>
        <v>SAST: 375 - 450mm</v>
      </c>
      <c r="F9" s="198" t="s">
        <v>7</v>
      </c>
      <c r="G9" s="217">
        <v>5.9143540352999997</v>
      </c>
      <c r="H9" s="199">
        <v>6.7</v>
      </c>
      <c r="I9" s="199">
        <v>1</v>
      </c>
      <c r="J9" s="200" t="s">
        <v>22</v>
      </c>
    </row>
    <row r="10" spans="2:10" ht="17" customHeight="1" x14ac:dyDescent="0.35">
      <c r="B10" s="201" t="s">
        <v>17</v>
      </c>
      <c r="C10" s="194" t="s">
        <v>8</v>
      </c>
      <c r="D10" s="194" t="s">
        <v>258</v>
      </c>
      <c r="E10" s="194" t="str">
        <f>IF(Axle_Data[[#This Row],[Tyre Size]]="n/a",Axle_Data[[#This Row],[Axle Code]],CONCATENATE(Axle_Data[[#This Row],[Axle Code]],": ",Axle_Data[[#This Row],[Tyre Size]]))</f>
        <v>SAST: &gt; 450mm</v>
      </c>
      <c r="F10" s="194" t="s">
        <v>18</v>
      </c>
      <c r="G10" s="216">
        <v>7.2399851121000003</v>
      </c>
      <c r="H10" s="195">
        <v>6.7</v>
      </c>
      <c r="I10" s="195"/>
      <c r="J10" s="196"/>
    </row>
    <row r="11" spans="2:10" ht="17" customHeight="1" x14ac:dyDescent="0.35">
      <c r="B11" s="201" t="s">
        <v>17</v>
      </c>
      <c r="C11" s="194" t="s">
        <v>8</v>
      </c>
      <c r="D11" s="194" t="s">
        <v>258</v>
      </c>
      <c r="E11" s="194" t="str">
        <f>IF(Axle_Data[[#This Row],[Tyre Size]]="n/a",Axle_Data[[#This Row],[Axle Code]],CONCATENATE(Axle_Data[[#This Row],[Axle Code]],": ",Axle_Data[[#This Row],[Tyre Size]]))</f>
        <v>SAST: &gt; 450mm</v>
      </c>
      <c r="F11" s="194" t="s">
        <v>20</v>
      </c>
      <c r="G11" s="216">
        <v>7.2399851121000003</v>
      </c>
      <c r="H11" s="195">
        <v>6.7</v>
      </c>
      <c r="I11" s="195"/>
      <c r="J11" s="196"/>
    </row>
    <row r="12" spans="2:10" ht="17" customHeight="1" x14ac:dyDescent="0.35">
      <c r="B12" s="201" t="s">
        <v>17</v>
      </c>
      <c r="C12" s="194" t="s">
        <v>8</v>
      </c>
      <c r="D12" s="194" t="s">
        <v>258</v>
      </c>
      <c r="E12" s="194" t="str">
        <f>IF(Axle_Data[[#This Row],[Tyre Size]]="n/a",Axle_Data[[#This Row],[Axle Code]],CONCATENATE(Axle_Data[[#This Row],[Axle Code]],": ",Axle_Data[[#This Row],[Tyre Size]]))</f>
        <v>SAST: &gt; 450mm</v>
      </c>
      <c r="F12" s="194" t="s">
        <v>7</v>
      </c>
      <c r="G12" s="216">
        <v>7.2399851121000003</v>
      </c>
      <c r="H12" s="195">
        <v>6.7</v>
      </c>
      <c r="I12" s="195">
        <v>1</v>
      </c>
      <c r="J12" s="196" t="s">
        <v>22</v>
      </c>
    </row>
    <row r="13" spans="2:10" ht="17" customHeight="1" x14ac:dyDescent="0.35">
      <c r="B13" s="202" t="s">
        <v>23</v>
      </c>
      <c r="C13" s="198" t="s">
        <v>24</v>
      </c>
      <c r="D13" s="198" t="s">
        <v>202</v>
      </c>
      <c r="E13" s="198" t="str">
        <f>IF(Axle_Data[[#This Row],[Tyre Size]]="n/a",Axle_Data[[#This Row],[Axle Code]],CONCATENATE(Axle_Data[[#This Row],[Axle Code]],": ",Axle_Data[[#This Row],[Tyre Size]]))</f>
        <v>SADT</v>
      </c>
      <c r="F13" s="198" t="s">
        <v>18</v>
      </c>
      <c r="G13" s="217">
        <v>8.1577297037999994</v>
      </c>
      <c r="H13" s="199">
        <v>9</v>
      </c>
      <c r="I13" s="199"/>
      <c r="J13" s="200"/>
    </row>
    <row r="14" spans="2:10" ht="17" customHeight="1" x14ac:dyDescent="0.35">
      <c r="B14" s="202" t="s">
        <v>23</v>
      </c>
      <c r="C14" s="198" t="s">
        <v>24</v>
      </c>
      <c r="D14" s="198" t="s">
        <v>202</v>
      </c>
      <c r="E14" s="198" t="str">
        <f>IF(Axle_Data[[#This Row],[Tyre Size]]="n/a",Axle_Data[[#This Row],[Axle Code]],CONCATENATE(Axle_Data[[#This Row],[Axle Code]],": ",Axle_Data[[#This Row],[Tyre Size]]))</f>
        <v>SADT</v>
      </c>
      <c r="F14" s="198" t="s">
        <v>20</v>
      </c>
      <c r="G14" s="217">
        <v>8.1577297037999994</v>
      </c>
      <c r="H14" s="199">
        <v>9</v>
      </c>
      <c r="I14" s="199"/>
      <c r="J14" s="200"/>
    </row>
    <row r="15" spans="2:10" ht="17" customHeight="1" x14ac:dyDescent="0.35">
      <c r="B15" s="202" t="s">
        <v>23</v>
      </c>
      <c r="C15" s="198" t="s">
        <v>24</v>
      </c>
      <c r="D15" s="198" t="s">
        <v>202</v>
      </c>
      <c r="E15" s="198" t="str">
        <f>IF(Axle_Data[[#This Row],[Tyre Size]]="n/a",Axle_Data[[#This Row],[Axle Code]],CONCATENATE(Axle_Data[[#This Row],[Axle Code]],": ",Axle_Data[[#This Row],[Tyre Size]]))</f>
        <v>SADT</v>
      </c>
      <c r="F15" s="198" t="s">
        <v>7</v>
      </c>
      <c r="G15" s="217">
        <v>8.1577297037999994</v>
      </c>
      <c r="H15" s="199">
        <v>9</v>
      </c>
      <c r="I15" s="199">
        <v>1</v>
      </c>
      <c r="J15" s="200" t="s">
        <v>22</v>
      </c>
    </row>
    <row r="16" spans="2:10" ht="17" customHeight="1" x14ac:dyDescent="0.35">
      <c r="B16" s="193" t="s">
        <v>27</v>
      </c>
      <c r="C16" s="194" t="s">
        <v>26</v>
      </c>
      <c r="D16" s="194" t="s">
        <v>256</v>
      </c>
      <c r="E16" s="194" t="str">
        <f>IF(Axle_Data[[#This Row],[Tyre Size]]="n/a",Axle_Data[[#This Row],[Axle Code]],CONCATENATE(Axle_Data[[#This Row],[Axle Code]],": ",Axle_Data[[#This Row],[Tyre Size]]))</f>
        <v>TAST: &lt; 350mm</v>
      </c>
      <c r="F16" s="194" t="s">
        <v>18</v>
      </c>
      <c r="G16" s="216">
        <v>9.0754742954999994</v>
      </c>
      <c r="H16" s="195">
        <v>11</v>
      </c>
      <c r="I16" s="195"/>
      <c r="J16" s="196"/>
    </row>
    <row r="17" spans="2:10" ht="17" customHeight="1" x14ac:dyDescent="0.35">
      <c r="B17" s="193" t="s">
        <v>27</v>
      </c>
      <c r="C17" s="194" t="s">
        <v>26</v>
      </c>
      <c r="D17" s="194" t="s">
        <v>256</v>
      </c>
      <c r="E17" s="194" t="str">
        <f>IF(Axle_Data[[#This Row],[Tyre Size]]="n/a",Axle_Data[[#This Row],[Axle Code]],CONCATENATE(Axle_Data[[#This Row],[Axle Code]],": ",Axle_Data[[#This Row],[Tyre Size]]))</f>
        <v>TAST: &lt; 350mm</v>
      </c>
      <c r="F17" s="194" t="s">
        <v>20</v>
      </c>
      <c r="G17" s="216">
        <v>9.0754742954999994</v>
      </c>
      <c r="H17" s="195">
        <v>11</v>
      </c>
      <c r="I17" s="195"/>
      <c r="J17" s="196"/>
    </row>
    <row r="18" spans="2:10" ht="17" customHeight="1" x14ac:dyDescent="0.35">
      <c r="B18" s="193" t="s">
        <v>27</v>
      </c>
      <c r="C18" s="194" t="s">
        <v>26</v>
      </c>
      <c r="D18" s="194" t="s">
        <v>256</v>
      </c>
      <c r="E18" s="194" t="str">
        <f>IF(Axle_Data[[#This Row],[Tyre Size]]="n/a",Axle_Data[[#This Row],[Axle Code]],CONCATENATE(Axle_Data[[#This Row],[Axle Code]],": ",Axle_Data[[#This Row],[Tyre Size]]))</f>
        <v>TAST: &lt; 350mm</v>
      </c>
      <c r="F18" s="194" t="s">
        <v>7</v>
      </c>
      <c r="G18" s="216">
        <v>9.0754742954999994</v>
      </c>
      <c r="H18" s="195">
        <v>11</v>
      </c>
      <c r="I18" s="195">
        <v>1</v>
      </c>
      <c r="J18" s="196" t="s">
        <v>22</v>
      </c>
    </row>
    <row r="19" spans="2:10" ht="17" customHeight="1" x14ac:dyDescent="0.35">
      <c r="B19" s="197" t="s">
        <v>25</v>
      </c>
      <c r="C19" s="198" t="s">
        <v>26</v>
      </c>
      <c r="D19" s="198" t="s">
        <v>257</v>
      </c>
      <c r="E19" s="198" t="str">
        <f>IF(Axle_Data[[#This Row],[Tyre Size]]="n/a",Axle_Data[[#This Row],[Axle Code]],CONCATENATE(Axle_Data[[#This Row],[Axle Code]],": ",Axle_Data[[#This Row],[Tyre Size]]))</f>
        <v>TAST: 375 - 450mm</v>
      </c>
      <c r="F19" s="198" t="s">
        <v>18</v>
      </c>
      <c r="G19" s="217">
        <v>9.9932188871999994</v>
      </c>
      <c r="H19" s="199">
        <v>13.3</v>
      </c>
      <c r="I19" s="199"/>
      <c r="J19" s="200"/>
    </row>
    <row r="20" spans="2:10" ht="17" customHeight="1" x14ac:dyDescent="0.35">
      <c r="B20" s="197" t="s">
        <v>25</v>
      </c>
      <c r="C20" s="198" t="s">
        <v>26</v>
      </c>
      <c r="D20" s="198" t="s">
        <v>257</v>
      </c>
      <c r="E20" s="198" t="str">
        <f>IF(Axle_Data[[#This Row],[Tyre Size]]="n/a",Axle_Data[[#This Row],[Axle Code]],CONCATENATE(Axle_Data[[#This Row],[Axle Code]],": ",Axle_Data[[#This Row],[Tyre Size]]))</f>
        <v>TAST: 375 - 450mm</v>
      </c>
      <c r="F20" s="198" t="s">
        <v>20</v>
      </c>
      <c r="G20" s="217">
        <v>9.9932188871999994</v>
      </c>
      <c r="H20" s="199">
        <v>13.3</v>
      </c>
      <c r="I20" s="199"/>
      <c r="J20" s="200"/>
    </row>
    <row r="21" spans="2:10" ht="17" customHeight="1" x14ac:dyDescent="0.35">
      <c r="B21" s="197" t="s">
        <v>25</v>
      </c>
      <c r="C21" s="198" t="s">
        <v>26</v>
      </c>
      <c r="D21" s="198" t="s">
        <v>257</v>
      </c>
      <c r="E21" s="198" t="str">
        <f>IF(Axle_Data[[#This Row],[Tyre Size]]="n/a",Axle_Data[[#This Row],[Axle Code]],CONCATENATE(Axle_Data[[#This Row],[Axle Code]],": ",Axle_Data[[#This Row],[Tyre Size]]))</f>
        <v>TAST: 375 - 450mm</v>
      </c>
      <c r="F21" s="198" t="s">
        <v>7</v>
      </c>
      <c r="G21" s="217">
        <v>9.9932188871999994</v>
      </c>
      <c r="H21" s="199">
        <v>13.3</v>
      </c>
      <c r="I21" s="199">
        <v>1</v>
      </c>
      <c r="J21" s="200" t="s">
        <v>22</v>
      </c>
    </row>
    <row r="22" spans="2:10" ht="17" customHeight="1" x14ac:dyDescent="0.35">
      <c r="B22" s="201" t="s">
        <v>28</v>
      </c>
      <c r="C22" s="194" t="s">
        <v>26</v>
      </c>
      <c r="D22" s="194" t="s">
        <v>258</v>
      </c>
      <c r="E22" s="194" t="str">
        <f>IF(Axle_Data[[#This Row],[Tyre Size]]="n/a",Axle_Data[[#This Row],[Axle Code]],CONCATENATE(Axle_Data[[#This Row],[Axle Code]],": ",Axle_Data[[#This Row],[Tyre Size]]))</f>
        <v>TAST: &gt; 450mm</v>
      </c>
      <c r="F22" s="194" t="s">
        <v>18</v>
      </c>
      <c r="G22" s="216">
        <v>12.134622933999999</v>
      </c>
      <c r="H22" s="195">
        <v>14</v>
      </c>
      <c r="I22" s="195"/>
      <c r="J22" s="196"/>
    </row>
    <row r="23" spans="2:10" ht="17" customHeight="1" x14ac:dyDescent="0.35">
      <c r="B23" s="201" t="s">
        <v>28</v>
      </c>
      <c r="C23" s="194" t="s">
        <v>26</v>
      </c>
      <c r="D23" s="194" t="s">
        <v>258</v>
      </c>
      <c r="E23" s="194" t="str">
        <f>IF(Axle_Data[[#This Row],[Tyre Size]]="n/a",Axle_Data[[#This Row],[Axle Code]],CONCATENATE(Axle_Data[[#This Row],[Axle Code]],": ",Axle_Data[[#This Row],[Tyre Size]]))</f>
        <v>TAST: &gt; 450mm</v>
      </c>
      <c r="F23" s="194" t="s">
        <v>20</v>
      </c>
      <c r="G23" s="216">
        <v>12.134622933999999</v>
      </c>
      <c r="H23" s="195">
        <v>14</v>
      </c>
      <c r="I23" s="195"/>
      <c r="J23" s="196"/>
    </row>
    <row r="24" spans="2:10" ht="17" customHeight="1" x14ac:dyDescent="0.35">
      <c r="B24" s="201" t="s">
        <v>28</v>
      </c>
      <c r="C24" s="194" t="s">
        <v>26</v>
      </c>
      <c r="D24" s="194" t="s">
        <v>258</v>
      </c>
      <c r="E24" s="194" t="str">
        <f>IF(Axle_Data[[#This Row],[Tyre Size]]="n/a",Axle_Data[[#This Row],[Axle Code]],CONCATENATE(Axle_Data[[#This Row],[Axle Code]],": ",Axle_Data[[#This Row],[Tyre Size]]))</f>
        <v>TAST: &gt; 450mm</v>
      </c>
      <c r="F24" s="194" t="s">
        <v>7</v>
      </c>
      <c r="G24" s="216">
        <v>12.134622933999999</v>
      </c>
      <c r="H24" s="195">
        <v>14</v>
      </c>
      <c r="I24" s="195">
        <v>1</v>
      </c>
      <c r="J24" s="196" t="s">
        <v>22</v>
      </c>
    </row>
    <row r="25" spans="2:10" ht="17" customHeight="1" x14ac:dyDescent="0.35">
      <c r="B25" s="202" t="s">
        <v>29</v>
      </c>
      <c r="C25" s="198" t="s">
        <v>30</v>
      </c>
      <c r="D25" s="198" t="s">
        <v>202</v>
      </c>
      <c r="E25" s="198" t="str">
        <f>IF(Axle_Data[[#This Row],[Tyre Size]]="n/a",Axle_Data[[#This Row],[Axle Code]],CONCATENATE(Axle_Data[[#This Row],[Axle Code]],": ",Axle_Data[[#This Row],[Tyre Size]]))</f>
        <v>TADT (non-drive)</v>
      </c>
      <c r="F25" s="198" t="s">
        <v>18</v>
      </c>
      <c r="G25" s="217">
        <v>13.766168875</v>
      </c>
      <c r="H25" s="199">
        <v>16.5</v>
      </c>
      <c r="I25" s="199"/>
      <c r="J25" s="200"/>
    </row>
    <row r="26" spans="2:10" ht="17" customHeight="1" x14ac:dyDescent="0.35">
      <c r="B26" s="202" t="s">
        <v>29</v>
      </c>
      <c r="C26" s="198" t="s">
        <v>30</v>
      </c>
      <c r="D26" s="198" t="s">
        <v>202</v>
      </c>
      <c r="E26" s="198" t="str">
        <f>IF(Axle_Data[[#This Row],[Tyre Size]]="n/a",Axle_Data[[#This Row],[Axle Code]],CONCATENATE(Axle_Data[[#This Row],[Axle Code]],": ",Axle_Data[[#This Row],[Tyre Size]]))</f>
        <v>TADT (non-drive)</v>
      </c>
      <c r="F26" s="198" t="s">
        <v>20</v>
      </c>
      <c r="G26" s="217">
        <v>13.766168875</v>
      </c>
      <c r="H26" s="199">
        <v>17</v>
      </c>
      <c r="I26" s="199"/>
      <c r="J26" s="200"/>
    </row>
    <row r="27" spans="2:10" ht="17" customHeight="1" x14ac:dyDescent="0.35">
      <c r="B27" s="202" t="s">
        <v>29</v>
      </c>
      <c r="C27" s="198" t="s">
        <v>30</v>
      </c>
      <c r="D27" s="198" t="s">
        <v>202</v>
      </c>
      <c r="E27" s="198" t="str">
        <f>IF(Axle_Data[[#This Row],[Tyre Size]]="n/a",Axle_Data[[#This Row],[Axle Code]],CONCATENATE(Axle_Data[[#This Row],[Axle Code]],": ",Axle_Data[[#This Row],[Tyre Size]]))</f>
        <v>TADT (non-drive)</v>
      </c>
      <c r="F27" s="198" t="s">
        <v>7</v>
      </c>
      <c r="G27" s="217">
        <v>13.766168875</v>
      </c>
      <c r="H27" s="199">
        <v>17</v>
      </c>
      <c r="I27" s="199">
        <v>1.1499999999999999</v>
      </c>
      <c r="J27" s="200"/>
    </row>
    <row r="28" spans="2:10" ht="17" customHeight="1" x14ac:dyDescent="0.35">
      <c r="B28" s="193" t="s">
        <v>31</v>
      </c>
      <c r="C28" s="194" t="s">
        <v>9</v>
      </c>
      <c r="D28" s="194" t="s">
        <v>202</v>
      </c>
      <c r="E28" s="194" t="str">
        <f>IF(Axle_Data[[#This Row],[Tyre Size]]="n/a",Axle_Data[[#This Row],[Axle Code]],CONCATENATE(Axle_Data[[#This Row],[Axle Code]],": ",Axle_Data[[#This Row],[Tyre Size]]))</f>
        <v>TADT (drive)</v>
      </c>
      <c r="F28" s="194" t="s">
        <v>18</v>
      </c>
      <c r="G28" s="216">
        <v>13.766168875</v>
      </c>
      <c r="H28" s="195">
        <v>16.5</v>
      </c>
      <c r="I28" s="195"/>
      <c r="J28" s="196"/>
    </row>
    <row r="29" spans="2:10" ht="17" customHeight="1" x14ac:dyDescent="0.35">
      <c r="B29" s="193" t="s">
        <v>31</v>
      </c>
      <c r="C29" s="194" t="s">
        <v>9</v>
      </c>
      <c r="D29" s="194" t="s">
        <v>202</v>
      </c>
      <c r="E29" s="194" t="str">
        <f>IF(Axle_Data[[#This Row],[Tyre Size]]="n/a",Axle_Data[[#This Row],[Axle Code]],CONCATENATE(Axle_Data[[#This Row],[Axle Code]],": ",Axle_Data[[#This Row],[Tyre Size]]))</f>
        <v>TADT (drive)</v>
      </c>
      <c r="F29" s="194" t="s">
        <v>20</v>
      </c>
      <c r="G29" s="216">
        <v>13.766168875</v>
      </c>
      <c r="H29" s="195">
        <v>17</v>
      </c>
      <c r="I29" s="195"/>
      <c r="J29" s="196"/>
    </row>
    <row r="30" spans="2:10" ht="17" customHeight="1" x14ac:dyDescent="0.35">
      <c r="B30" s="193" t="s">
        <v>31</v>
      </c>
      <c r="C30" s="194" t="s">
        <v>9</v>
      </c>
      <c r="D30" s="194" t="s">
        <v>202</v>
      </c>
      <c r="E30" s="194" t="str">
        <f>IF(Axle_Data[[#This Row],[Tyre Size]]="n/a",Axle_Data[[#This Row],[Axle Code]],CONCATENATE(Axle_Data[[#This Row],[Axle Code]],": ",Axle_Data[[#This Row],[Tyre Size]]))</f>
        <v>TADT (drive)</v>
      </c>
      <c r="F30" s="194" t="s">
        <v>7</v>
      </c>
      <c r="G30" s="216">
        <v>13.766168875</v>
      </c>
      <c r="H30" s="195">
        <v>17</v>
      </c>
      <c r="I30" s="195">
        <v>1.25</v>
      </c>
      <c r="J30" s="196"/>
    </row>
    <row r="31" spans="2:10" ht="17" customHeight="1" x14ac:dyDescent="0.35">
      <c r="B31" s="202" t="s">
        <v>32</v>
      </c>
      <c r="C31" s="198" t="s">
        <v>34</v>
      </c>
      <c r="D31" s="198" t="s">
        <v>256</v>
      </c>
      <c r="E31" s="198" t="str">
        <f>IF(Axle_Data[[#This Row],[Tyre Size]]="n/a",Axle_Data[[#This Row],[Axle Code]],CONCATENATE(Axle_Data[[#This Row],[Axle Code]],": ",Axle_Data[[#This Row],[Tyre Size]]))</f>
        <v>TRST: &lt; 350mm</v>
      </c>
      <c r="F31" s="198" t="s">
        <v>18</v>
      </c>
      <c r="G31" s="217">
        <v>12.338566177000001</v>
      </c>
      <c r="H31" s="199">
        <v>15</v>
      </c>
      <c r="I31" s="199"/>
      <c r="J31" s="203"/>
    </row>
    <row r="32" spans="2:10" ht="17" customHeight="1" x14ac:dyDescent="0.35">
      <c r="B32" s="202" t="s">
        <v>32</v>
      </c>
      <c r="C32" s="198" t="s">
        <v>34</v>
      </c>
      <c r="D32" s="198" t="s">
        <v>256</v>
      </c>
      <c r="E32" s="198" t="str">
        <f>IF(Axle_Data[[#This Row],[Tyre Size]]="n/a",Axle_Data[[#This Row],[Axle Code]],CONCATENATE(Axle_Data[[#This Row],[Axle Code]],": ",Axle_Data[[#This Row],[Tyre Size]]))</f>
        <v>TRST: &lt; 350mm</v>
      </c>
      <c r="F32" s="198" t="s">
        <v>20</v>
      </c>
      <c r="G32" s="217">
        <v>12.338566177000001</v>
      </c>
      <c r="H32" s="199">
        <v>15</v>
      </c>
      <c r="I32" s="199"/>
      <c r="J32" s="200"/>
    </row>
    <row r="33" spans="2:10" ht="17" customHeight="1" x14ac:dyDescent="0.35">
      <c r="B33" s="202" t="s">
        <v>32</v>
      </c>
      <c r="C33" s="198" t="s">
        <v>34</v>
      </c>
      <c r="D33" s="198" t="s">
        <v>256</v>
      </c>
      <c r="E33" s="198" t="str">
        <f>IF(Axle_Data[[#This Row],[Tyre Size]]="n/a",Axle_Data[[#This Row],[Axle Code]],CONCATENATE(Axle_Data[[#This Row],[Axle Code]],": ",Axle_Data[[#This Row],[Tyre Size]]))</f>
        <v>TRST: &lt; 350mm</v>
      </c>
      <c r="F33" s="198" t="s">
        <v>7</v>
      </c>
      <c r="G33" s="217">
        <v>12.338566177000001</v>
      </c>
      <c r="H33" s="199">
        <v>15</v>
      </c>
      <c r="I33" s="199">
        <v>1</v>
      </c>
      <c r="J33" s="200" t="s">
        <v>22</v>
      </c>
    </row>
    <row r="34" spans="2:10" ht="17" customHeight="1" x14ac:dyDescent="0.35">
      <c r="B34" s="201" t="s">
        <v>33</v>
      </c>
      <c r="C34" s="194" t="s">
        <v>34</v>
      </c>
      <c r="D34" s="194" t="s">
        <v>257</v>
      </c>
      <c r="E34" s="194" t="str">
        <f>IF(Axle_Data[[#This Row],[Tyre Size]]="n/a",Axle_Data[[#This Row],[Axle Code]],CONCATENATE(Axle_Data[[#This Row],[Axle Code]],": ",Axle_Data[[#This Row],[Tyre Size]]))</f>
        <v>TRST: 375 - 450mm</v>
      </c>
      <c r="F34" s="194" t="s">
        <v>18</v>
      </c>
      <c r="G34" s="216">
        <v>13.460254011</v>
      </c>
      <c r="H34" s="195">
        <v>20</v>
      </c>
      <c r="I34" s="195"/>
      <c r="J34" s="196"/>
    </row>
    <row r="35" spans="2:10" ht="17" customHeight="1" x14ac:dyDescent="0.35">
      <c r="B35" s="201" t="s">
        <v>33</v>
      </c>
      <c r="C35" s="194" t="s">
        <v>34</v>
      </c>
      <c r="D35" s="194" t="s">
        <v>257</v>
      </c>
      <c r="E35" s="194" t="str">
        <f>IF(Axle_Data[[#This Row],[Tyre Size]]="n/a",Axle_Data[[#This Row],[Axle Code]],CONCATENATE(Axle_Data[[#This Row],[Axle Code]],": ",Axle_Data[[#This Row],[Tyre Size]]))</f>
        <v>TRST: 375 - 450mm</v>
      </c>
      <c r="F35" s="194" t="s">
        <v>20</v>
      </c>
      <c r="G35" s="216">
        <v>13.460254011</v>
      </c>
      <c r="H35" s="195">
        <v>20</v>
      </c>
      <c r="I35" s="195"/>
      <c r="J35" s="196"/>
    </row>
    <row r="36" spans="2:10" ht="17" customHeight="1" x14ac:dyDescent="0.35">
      <c r="B36" s="201" t="s">
        <v>33</v>
      </c>
      <c r="C36" s="194" t="s">
        <v>34</v>
      </c>
      <c r="D36" s="194" t="s">
        <v>257</v>
      </c>
      <c r="E36" s="194" t="str">
        <f>IF(Axle_Data[[#This Row],[Tyre Size]]="n/a",Axle_Data[[#This Row],[Axle Code]],CONCATENATE(Axle_Data[[#This Row],[Axle Code]],": ",Axle_Data[[#This Row],[Tyre Size]]))</f>
        <v>TRST: 375 - 450mm</v>
      </c>
      <c r="F36" s="194" t="s">
        <v>7</v>
      </c>
      <c r="G36" s="216">
        <v>13.460254011</v>
      </c>
      <c r="H36" s="195">
        <v>20</v>
      </c>
      <c r="I36" s="195">
        <v>1</v>
      </c>
      <c r="J36" s="196" t="s">
        <v>22</v>
      </c>
    </row>
    <row r="37" spans="2:10" ht="17" customHeight="1" x14ac:dyDescent="0.35">
      <c r="B37" s="202" t="s">
        <v>394</v>
      </c>
      <c r="C37" s="198" t="s">
        <v>34</v>
      </c>
      <c r="D37" s="198" t="s">
        <v>258</v>
      </c>
      <c r="E37" s="198" t="str">
        <f>IF(Axle_Data[[#This Row],[Tyre Size]]="n/a",Axle_Data[[#This Row],[Axle Code]],CONCATENATE(Axle_Data[[#This Row],[Axle Code]],": ",Axle_Data[[#This Row],[Tyre Size]]))</f>
        <v>TRST: &gt; 450mm</v>
      </c>
      <c r="F37" s="198" t="s">
        <v>18</v>
      </c>
      <c r="G37" s="217">
        <v>16.51940265</v>
      </c>
      <c r="H37" s="199">
        <v>20</v>
      </c>
      <c r="I37" s="199"/>
      <c r="J37" s="200"/>
    </row>
    <row r="38" spans="2:10" ht="17" customHeight="1" x14ac:dyDescent="0.35">
      <c r="B38" s="202" t="s">
        <v>394</v>
      </c>
      <c r="C38" s="198" t="s">
        <v>34</v>
      </c>
      <c r="D38" s="198" t="s">
        <v>258</v>
      </c>
      <c r="E38" s="198" t="str">
        <f>IF(Axle_Data[[#This Row],[Tyre Size]]="n/a",Axle_Data[[#This Row],[Axle Code]],CONCATENATE(Axle_Data[[#This Row],[Axle Code]],": ",Axle_Data[[#This Row],[Tyre Size]]))</f>
        <v>TRST: &gt; 450mm</v>
      </c>
      <c r="F38" s="198" t="s">
        <v>20</v>
      </c>
      <c r="G38" s="217">
        <v>16.51940265</v>
      </c>
      <c r="H38" s="199">
        <v>20</v>
      </c>
      <c r="I38" s="199"/>
      <c r="J38" s="200"/>
    </row>
    <row r="39" spans="2:10" ht="17" customHeight="1" x14ac:dyDescent="0.35">
      <c r="B39" s="202" t="s">
        <v>394</v>
      </c>
      <c r="C39" s="198" t="s">
        <v>34</v>
      </c>
      <c r="D39" s="198" t="s">
        <v>258</v>
      </c>
      <c r="E39" s="198" t="str">
        <f>IF(Axle_Data[[#This Row],[Tyre Size]]="n/a",Axle_Data[[#This Row],[Axle Code]],CONCATENATE(Axle_Data[[#This Row],[Axle Code]],": ",Axle_Data[[#This Row],[Tyre Size]]))</f>
        <v>TRST: &gt; 450mm</v>
      </c>
      <c r="F39" s="198" t="s">
        <v>7</v>
      </c>
      <c r="G39" s="217">
        <v>16.51940265</v>
      </c>
      <c r="H39" s="199">
        <v>20</v>
      </c>
      <c r="I39" s="199">
        <v>1</v>
      </c>
      <c r="J39" s="200" t="s">
        <v>22</v>
      </c>
    </row>
    <row r="40" spans="2:10" ht="17" customHeight="1" x14ac:dyDescent="0.35">
      <c r="B40" s="193" t="s">
        <v>37</v>
      </c>
      <c r="C40" s="194" t="s">
        <v>10</v>
      </c>
      <c r="D40" s="194" t="s">
        <v>202</v>
      </c>
      <c r="E40" s="194" t="str">
        <f>IF(Axle_Data[[#This Row],[Tyre Size]]="n/a",Axle_Data[[#This Row],[Axle Code]],CONCATENATE(Axle_Data[[#This Row],[Axle Code]],": ",Axle_Data[[#This Row],[Tyre Size]]))</f>
        <v>TRDT</v>
      </c>
      <c r="F40" s="194" t="s">
        <v>18</v>
      </c>
      <c r="G40" s="216">
        <v>18.558835076000001</v>
      </c>
      <c r="H40" s="195">
        <v>20</v>
      </c>
      <c r="I40" s="195"/>
      <c r="J40" s="196"/>
    </row>
    <row r="41" spans="2:10" ht="17" customHeight="1" x14ac:dyDescent="0.35">
      <c r="B41" s="193" t="s">
        <v>37</v>
      </c>
      <c r="C41" s="194" t="s">
        <v>10</v>
      </c>
      <c r="D41" s="194" t="s">
        <v>202</v>
      </c>
      <c r="E41" s="194" t="str">
        <f>IF(Axle_Data[[#This Row],[Tyre Size]]="n/a",Axle_Data[[#This Row],[Axle Code]],CONCATENATE(Axle_Data[[#This Row],[Axle Code]],": ",Axle_Data[[#This Row],[Tyre Size]]))</f>
        <v>TRDT</v>
      </c>
      <c r="F41" s="194" t="s">
        <v>20</v>
      </c>
      <c r="G41" s="216">
        <v>18.558835076000001</v>
      </c>
      <c r="H41" s="195">
        <v>21</v>
      </c>
      <c r="I41" s="195"/>
      <c r="J41" s="196"/>
    </row>
    <row r="42" spans="2:10" ht="17" customHeight="1" x14ac:dyDescent="0.35">
      <c r="B42" s="193" t="s">
        <v>37</v>
      </c>
      <c r="C42" s="194" t="s">
        <v>10</v>
      </c>
      <c r="D42" s="194" t="s">
        <v>202</v>
      </c>
      <c r="E42" s="194" t="str">
        <f>IF(Axle_Data[[#This Row],[Tyre Size]]="n/a",Axle_Data[[#This Row],[Axle Code]],CONCATENATE(Axle_Data[[#This Row],[Axle Code]],": ",Axle_Data[[#This Row],[Tyre Size]]))</f>
        <v>TRDT</v>
      </c>
      <c r="F42" s="194" t="s">
        <v>7</v>
      </c>
      <c r="G42" s="216">
        <v>18.558835076000001</v>
      </c>
      <c r="H42" s="195">
        <v>22.5</v>
      </c>
      <c r="I42" s="195">
        <v>1.2</v>
      </c>
      <c r="J42" s="196"/>
    </row>
    <row r="43" spans="2:10" ht="17" customHeight="1" x14ac:dyDescent="0.35">
      <c r="B43" s="202" t="s">
        <v>395</v>
      </c>
      <c r="C43" s="198" t="s">
        <v>396</v>
      </c>
      <c r="D43" s="198" t="s">
        <v>256</v>
      </c>
      <c r="E43" s="198" t="str">
        <f>IF(Axle_Data[[#This Row],[Tyre Size]]="n/a",Axle_Data[[#This Row],[Axle Code]],CONCATENATE(Axle_Data[[#This Row],[Axle Code]],": ",Axle_Data[[#This Row],[Tyre Size]]))</f>
        <v>QAST: &lt; 350mm</v>
      </c>
      <c r="F43" s="198" t="s">
        <v>18</v>
      </c>
      <c r="G43" s="217">
        <v>15.295743195</v>
      </c>
      <c r="H43" s="199">
        <v>15</v>
      </c>
      <c r="I43" s="199"/>
      <c r="J43" s="200"/>
    </row>
    <row r="44" spans="2:10" ht="17" customHeight="1" x14ac:dyDescent="0.35">
      <c r="B44" s="202" t="s">
        <v>395</v>
      </c>
      <c r="C44" s="198" t="s">
        <v>396</v>
      </c>
      <c r="D44" s="198" t="s">
        <v>256</v>
      </c>
      <c r="E44" s="198" t="str">
        <f>IF(Axle_Data[[#This Row],[Tyre Size]]="n/a",Axle_Data[[#This Row],[Axle Code]],CONCATENATE(Axle_Data[[#This Row],[Axle Code]],": ",Axle_Data[[#This Row],[Tyre Size]]))</f>
        <v>QAST: &lt; 350mm</v>
      </c>
      <c r="F44" s="198" t="s">
        <v>20</v>
      </c>
      <c r="G44" s="217">
        <v>15.295743195</v>
      </c>
      <c r="H44" s="199">
        <v>15</v>
      </c>
      <c r="I44" s="199"/>
      <c r="J44" s="200"/>
    </row>
    <row r="45" spans="2:10" ht="17" customHeight="1" x14ac:dyDescent="0.35">
      <c r="B45" s="202" t="s">
        <v>395</v>
      </c>
      <c r="C45" s="198" t="s">
        <v>396</v>
      </c>
      <c r="D45" s="198" t="s">
        <v>256</v>
      </c>
      <c r="E45" s="198" t="str">
        <f>IF(Axle_Data[[#This Row],[Tyre Size]]="n/a",Axle_Data[[#This Row],[Axle Code]],CONCATENATE(Axle_Data[[#This Row],[Axle Code]],": ",Axle_Data[[#This Row],[Tyre Size]]))</f>
        <v>QAST: &lt; 350mm</v>
      </c>
      <c r="F45" s="198" t="s">
        <v>7</v>
      </c>
      <c r="G45" s="217">
        <v>15.295743195</v>
      </c>
      <c r="H45" s="199">
        <v>15</v>
      </c>
      <c r="I45" s="199">
        <v>1</v>
      </c>
      <c r="J45" s="200" t="s">
        <v>22</v>
      </c>
    </row>
    <row r="46" spans="2:10" ht="17" customHeight="1" x14ac:dyDescent="0.35">
      <c r="B46" s="193" t="s">
        <v>397</v>
      </c>
      <c r="C46" s="194" t="s">
        <v>396</v>
      </c>
      <c r="D46" s="194" t="s">
        <v>257</v>
      </c>
      <c r="E46" s="194" t="str">
        <f>IF(Axle_Data[[#This Row],[Tyre Size]]="n/a",Axle_Data[[#This Row],[Axle Code]],CONCATENATE(Axle_Data[[#This Row],[Axle Code]],": ",Axle_Data[[#This Row],[Tyre Size]]))</f>
        <v>QAST: 375 - 450mm</v>
      </c>
      <c r="F46" s="194" t="s">
        <v>18</v>
      </c>
      <c r="G46" s="216">
        <v>16.723345893000001</v>
      </c>
      <c r="H46" s="195">
        <v>20</v>
      </c>
      <c r="I46" s="195"/>
      <c r="J46" s="196"/>
    </row>
    <row r="47" spans="2:10" ht="17" customHeight="1" x14ac:dyDescent="0.35">
      <c r="B47" s="193" t="s">
        <v>397</v>
      </c>
      <c r="C47" s="194" t="s">
        <v>396</v>
      </c>
      <c r="D47" s="194" t="s">
        <v>257</v>
      </c>
      <c r="E47" s="194" t="str">
        <f>IF(Axle_Data[[#This Row],[Tyre Size]]="n/a",Axle_Data[[#This Row],[Axle Code]],CONCATENATE(Axle_Data[[#This Row],[Axle Code]],": ",Axle_Data[[#This Row],[Tyre Size]]))</f>
        <v>QAST: 375 - 450mm</v>
      </c>
      <c r="F47" s="194" t="s">
        <v>20</v>
      </c>
      <c r="G47" s="216">
        <v>16.723345893000001</v>
      </c>
      <c r="H47" s="195">
        <v>20</v>
      </c>
      <c r="I47" s="195"/>
      <c r="J47" s="196"/>
    </row>
    <row r="48" spans="2:10" ht="17" customHeight="1" x14ac:dyDescent="0.35">
      <c r="B48" s="193" t="s">
        <v>397</v>
      </c>
      <c r="C48" s="204" t="s">
        <v>396</v>
      </c>
      <c r="D48" s="194" t="s">
        <v>257</v>
      </c>
      <c r="E48" s="194" t="str">
        <f>IF(Axle_Data[[#This Row],[Tyre Size]]="n/a",Axle_Data[[#This Row],[Axle Code]],CONCATENATE(Axle_Data[[#This Row],[Axle Code]],": ",Axle_Data[[#This Row],[Tyre Size]]))</f>
        <v>QAST: 375 - 450mm</v>
      </c>
      <c r="F48" s="194" t="s">
        <v>7</v>
      </c>
      <c r="G48" s="216">
        <v>16.723345893000001</v>
      </c>
      <c r="H48" s="195">
        <v>20</v>
      </c>
      <c r="I48" s="195">
        <v>1</v>
      </c>
      <c r="J48" s="196" t="s">
        <v>22</v>
      </c>
    </row>
    <row r="49" spans="2:10" ht="17" customHeight="1" x14ac:dyDescent="0.35">
      <c r="B49" s="202" t="s">
        <v>398</v>
      </c>
      <c r="C49" s="205" t="s">
        <v>396</v>
      </c>
      <c r="D49" s="198" t="s">
        <v>258</v>
      </c>
      <c r="E49" s="198" t="str">
        <f>IF(Axle_Data[[#This Row],[Tyre Size]]="n/a",Axle_Data[[#This Row],[Axle Code]],CONCATENATE(Axle_Data[[#This Row],[Axle Code]],": ",Axle_Data[[#This Row],[Tyre Size]]))</f>
        <v>QAST: &gt; 450mm</v>
      </c>
      <c r="F49" s="198" t="s">
        <v>18</v>
      </c>
      <c r="G49" s="217">
        <v>20.496295881000002</v>
      </c>
      <c r="H49" s="199">
        <v>20</v>
      </c>
      <c r="I49" s="199"/>
      <c r="J49" s="200"/>
    </row>
    <row r="50" spans="2:10" ht="17" customHeight="1" x14ac:dyDescent="0.35">
      <c r="B50" s="202" t="s">
        <v>398</v>
      </c>
      <c r="C50" s="205" t="s">
        <v>396</v>
      </c>
      <c r="D50" s="198" t="s">
        <v>258</v>
      </c>
      <c r="E50" s="198" t="str">
        <f>IF(Axle_Data[[#This Row],[Tyre Size]]="n/a",Axle_Data[[#This Row],[Axle Code]],CONCATENATE(Axle_Data[[#This Row],[Axle Code]],": ",Axle_Data[[#This Row],[Tyre Size]]))</f>
        <v>QAST: &gt; 450mm</v>
      </c>
      <c r="F50" s="198" t="s">
        <v>20</v>
      </c>
      <c r="G50" s="217">
        <v>20.496295881000002</v>
      </c>
      <c r="H50" s="199">
        <v>20</v>
      </c>
      <c r="I50" s="199"/>
      <c r="J50" s="200"/>
    </row>
    <row r="51" spans="2:10" ht="17" customHeight="1" x14ac:dyDescent="0.35">
      <c r="B51" s="202" t="s">
        <v>398</v>
      </c>
      <c r="C51" s="205" t="s">
        <v>396</v>
      </c>
      <c r="D51" s="198" t="s">
        <v>258</v>
      </c>
      <c r="E51" s="198" t="str">
        <f>IF(Axle_Data[[#This Row],[Tyre Size]]="n/a",Axle_Data[[#This Row],[Axle Code]],CONCATENATE(Axle_Data[[#This Row],[Axle Code]],": ",Axle_Data[[#This Row],[Tyre Size]]))</f>
        <v>QAST: &gt; 450mm</v>
      </c>
      <c r="F51" s="198" t="s">
        <v>7</v>
      </c>
      <c r="G51" s="217">
        <v>20.496295881000002</v>
      </c>
      <c r="H51" s="199">
        <v>20</v>
      </c>
      <c r="I51" s="199">
        <v>1</v>
      </c>
      <c r="J51" s="200" t="s">
        <v>22</v>
      </c>
    </row>
    <row r="52" spans="2:10" ht="17" customHeight="1" x14ac:dyDescent="0.35">
      <c r="B52" s="193" t="s">
        <v>38</v>
      </c>
      <c r="C52" s="204" t="s">
        <v>39</v>
      </c>
      <c r="D52" s="194" t="s">
        <v>202</v>
      </c>
      <c r="E52" s="194" t="str">
        <f>IF(Axle_Data[[#This Row],[Tyre Size]]="n/a",Axle_Data[[#This Row],[Axle Code]],CONCATENATE(Axle_Data[[#This Row],[Axle Code]],": ",Axle_Data[[#This Row],[Tyre Size]]))</f>
        <v>QADT</v>
      </c>
      <c r="F52" s="194" t="s">
        <v>18</v>
      </c>
      <c r="G52" s="216">
        <v>23.045586412999999</v>
      </c>
      <c r="H52" s="195">
        <v>20</v>
      </c>
      <c r="I52" s="195"/>
      <c r="J52" s="196"/>
    </row>
    <row r="53" spans="2:10" ht="17" customHeight="1" x14ac:dyDescent="0.35">
      <c r="B53" s="193" t="s">
        <v>38</v>
      </c>
      <c r="C53" s="204" t="s">
        <v>39</v>
      </c>
      <c r="D53" s="194" t="s">
        <v>202</v>
      </c>
      <c r="E53" s="194" t="str">
        <f>IF(Axle_Data[[#This Row],[Tyre Size]]="n/a",Axle_Data[[#This Row],[Axle Code]],CONCATENATE(Axle_Data[[#This Row],[Axle Code]],": ",Axle_Data[[#This Row],[Tyre Size]]))</f>
        <v>QADT</v>
      </c>
      <c r="F53" s="194" t="s">
        <v>20</v>
      </c>
      <c r="G53" s="216">
        <v>23.045586412999999</v>
      </c>
      <c r="H53" s="195">
        <v>21</v>
      </c>
      <c r="I53" s="195"/>
      <c r="J53" s="196"/>
    </row>
    <row r="54" spans="2:10" ht="17" customHeight="1" x14ac:dyDescent="0.35">
      <c r="B54" s="193" t="s">
        <v>38</v>
      </c>
      <c r="C54" s="204" t="s">
        <v>39</v>
      </c>
      <c r="D54" s="194" t="s">
        <v>202</v>
      </c>
      <c r="E54" s="194" t="str">
        <f>IF(Axle_Data[[#This Row],[Tyre Size]]="n/a",Axle_Data[[#This Row],[Axle Code]],CONCATENATE(Axle_Data[[#This Row],[Axle Code]],": ",Axle_Data[[#This Row],[Tyre Size]]))</f>
        <v>QADT</v>
      </c>
      <c r="F54" s="194" t="s">
        <v>7</v>
      </c>
      <c r="G54" s="216">
        <v>23.045586412999999</v>
      </c>
      <c r="H54" s="195">
        <v>27</v>
      </c>
      <c r="I54" s="195">
        <v>1</v>
      </c>
      <c r="J54" s="196" t="s">
        <v>22</v>
      </c>
    </row>
    <row r="55" spans="2:10" ht="17" customHeight="1" x14ac:dyDescent="0.35">
      <c r="B55" s="206" t="s">
        <v>399</v>
      </c>
      <c r="C55" s="205" t="s">
        <v>40</v>
      </c>
      <c r="D55" s="198" t="s">
        <v>256</v>
      </c>
      <c r="E55" s="207" t="s">
        <v>402</v>
      </c>
      <c r="F55" s="198" t="s">
        <v>18</v>
      </c>
      <c r="G55" s="217">
        <v>9.0754742954999994</v>
      </c>
      <c r="H55" s="199">
        <v>11</v>
      </c>
      <c r="I55" s="199"/>
      <c r="J55" s="203"/>
    </row>
    <row r="56" spans="2:10" ht="17" customHeight="1" x14ac:dyDescent="0.35">
      <c r="B56" s="206" t="s">
        <v>399</v>
      </c>
      <c r="C56" s="205" t="s">
        <v>40</v>
      </c>
      <c r="D56" s="198" t="s">
        <v>256</v>
      </c>
      <c r="E56" s="207" t="s">
        <v>402</v>
      </c>
      <c r="F56" s="198" t="s">
        <v>20</v>
      </c>
      <c r="G56" s="217">
        <v>9.0754742954999994</v>
      </c>
      <c r="H56" s="199">
        <v>11</v>
      </c>
      <c r="I56" s="199"/>
      <c r="J56" s="203"/>
    </row>
    <row r="57" spans="2:10" ht="17" customHeight="1" x14ac:dyDescent="0.35">
      <c r="B57" s="206" t="s">
        <v>399</v>
      </c>
      <c r="C57" s="205" t="s">
        <v>40</v>
      </c>
      <c r="D57" s="198" t="s">
        <v>256</v>
      </c>
      <c r="E57" s="207" t="s">
        <v>402</v>
      </c>
      <c r="F57" s="198" t="s">
        <v>7</v>
      </c>
      <c r="G57" s="217">
        <v>9.0754742954999994</v>
      </c>
      <c r="H57" s="199">
        <v>11</v>
      </c>
      <c r="I57" s="199">
        <v>1</v>
      </c>
      <c r="J57" s="200" t="s">
        <v>22</v>
      </c>
    </row>
    <row r="58" spans="2:10" ht="17" customHeight="1" x14ac:dyDescent="0.35">
      <c r="B58" s="208" t="s">
        <v>400</v>
      </c>
      <c r="C58" s="204" t="s">
        <v>40</v>
      </c>
      <c r="D58" s="194" t="s">
        <v>257</v>
      </c>
      <c r="E58" s="209" t="s">
        <v>403</v>
      </c>
      <c r="F58" s="194" t="s">
        <v>18</v>
      </c>
      <c r="G58" s="216">
        <v>9.9932188871999994</v>
      </c>
      <c r="H58" s="195">
        <v>11</v>
      </c>
      <c r="I58" s="195"/>
      <c r="J58" s="210"/>
    </row>
    <row r="59" spans="2:10" ht="17" customHeight="1" x14ac:dyDescent="0.35">
      <c r="B59" s="208" t="s">
        <v>400</v>
      </c>
      <c r="C59" s="204" t="s">
        <v>40</v>
      </c>
      <c r="D59" s="194" t="s">
        <v>257</v>
      </c>
      <c r="E59" s="209" t="s">
        <v>403</v>
      </c>
      <c r="F59" s="194" t="s">
        <v>20</v>
      </c>
      <c r="G59" s="216">
        <v>9.9932188871999994</v>
      </c>
      <c r="H59" s="195">
        <v>11</v>
      </c>
      <c r="I59" s="195"/>
      <c r="J59" s="210"/>
    </row>
    <row r="60" spans="2:10" ht="17" customHeight="1" x14ac:dyDescent="0.35">
      <c r="B60" s="208" t="s">
        <v>400</v>
      </c>
      <c r="C60" s="204" t="s">
        <v>40</v>
      </c>
      <c r="D60" s="194" t="s">
        <v>257</v>
      </c>
      <c r="E60" s="209" t="s">
        <v>403</v>
      </c>
      <c r="F60" s="194" t="s">
        <v>7</v>
      </c>
      <c r="G60" s="216">
        <v>9.9932188871999994</v>
      </c>
      <c r="H60" s="195">
        <v>11</v>
      </c>
      <c r="I60" s="195">
        <v>1</v>
      </c>
      <c r="J60" s="196" t="s">
        <v>22</v>
      </c>
    </row>
    <row r="61" spans="2:10" ht="17" customHeight="1" x14ac:dyDescent="0.35">
      <c r="B61" s="206" t="s">
        <v>401</v>
      </c>
      <c r="C61" s="205" t="s">
        <v>40</v>
      </c>
      <c r="D61" s="198" t="s">
        <v>258</v>
      </c>
      <c r="E61" s="207" t="s">
        <v>404</v>
      </c>
      <c r="F61" s="198" t="s">
        <v>18</v>
      </c>
      <c r="G61" s="217">
        <v>12.134622933999999</v>
      </c>
      <c r="H61" s="199">
        <v>11</v>
      </c>
      <c r="I61" s="199"/>
      <c r="J61" s="203"/>
    </row>
    <row r="62" spans="2:10" ht="17" customHeight="1" x14ac:dyDescent="0.35">
      <c r="B62" s="206" t="s">
        <v>401</v>
      </c>
      <c r="C62" s="205" t="s">
        <v>40</v>
      </c>
      <c r="D62" s="198" t="s">
        <v>258</v>
      </c>
      <c r="E62" s="207" t="s">
        <v>404</v>
      </c>
      <c r="F62" s="198" t="s">
        <v>20</v>
      </c>
      <c r="G62" s="217">
        <v>12.134622933999999</v>
      </c>
      <c r="H62" s="199">
        <v>11</v>
      </c>
      <c r="I62" s="199"/>
      <c r="J62" s="203"/>
    </row>
    <row r="63" spans="2:10" ht="17" customHeight="1" x14ac:dyDescent="0.35">
      <c r="B63" s="206" t="s">
        <v>401</v>
      </c>
      <c r="C63" s="205" t="s">
        <v>40</v>
      </c>
      <c r="D63" s="198" t="s">
        <v>258</v>
      </c>
      <c r="E63" s="207" t="s">
        <v>404</v>
      </c>
      <c r="F63" s="198" t="s">
        <v>7</v>
      </c>
      <c r="G63" s="217">
        <v>12.134622933999999</v>
      </c>
      <c r="H63" s="199">
        <v>11</v>
      </c>
      <c r="I63" s="199">
        <v>1</v>
      </c>
      <c r="J63" s="200" t="s">
        <v>22</v>
      </c>
    </row>
    <row r="64" spans="2:10" ht="17" customHeight="1" x14ac:dyDescent="0.35">
      <c r="B64" s="208" t="s">
        <v>41</v>
      </c>
      <c r="C64" s="204" t="s">
        <v>42</v>
      </c>
      <c r="D64" s="194" t="s">
        <v>202</v>
      </c>
      <c r="E64" s="194" t="str">
        <f>IF(Axle_Data[[#This Row],[Tyre Size]]="n/a",Axle_Data[[#This Row],[Axle Code]],CONCATENATE(Axle_Data[[#This Row],[Axle Code]],": ",Axle_Data[[#This Row],[Tyre Size]]))</f>
        <v>PSADT</v>
      </c>
      <c r="F64" s="194" t="s">
        <v>18</v>
      </c>
      <c r="G64" s="216">
        <v>8.16</v>
      </c>
      <c r="H64" s="195">
        <v>8.5</v>
      </c>
      <c r="I64" s="195"/>
      <c r="J64" s="210"/>
    </row>
    <row r="65" spans="2:10" ht="17" customHeight="1" x14ac:dyDescent="0.35">
      <c r="B65" s="208" t="s">
        <v>41</v>
      </c>
      <c r="C65" s="204" t="s">
        <v>42</v>
      </c>
      <c r="D65" s="194" t="s">
        <v>202</v>
      </c>
      <c r="E65" s="194" t="str">
        <f>IF(Axle_Data[[#This Row],[Tyre Size]]="n/a",Axle_Data[[#This Row],[Axle Code]],CONCATENATE(Axle_Data[[#This Row],[Axle Code]],": ",Axle_Data[[#This Row],[Tyre Size]]))</f>
        <v>PSADT</v>
      </c>
      <c r="F65" s="194" t="s">
        <v>20</v>
      </c>
      <c r="G65" s="216">
        <v>8.16</v>
      </c>
      <c r="H65" s="195">
        <v>8.5</v>
      </c>
      <c r="I65" s="195"/>
      <c r="J65" s="210"/>
    </row>
    <row r="66" spans="2:10" ht="17" customHeight="1" x14ac:dyDescent="0.35">
      <c r="B66" s="208" t="s">
        <v>41</v>
      </c>
      <c r="C66" s="204" t="s">
        <v>42</v>
      </c>
      <c r="D66" s="194" t="s">
        <v>202</v>
      </c>
      <c r="E66" s="194" t="str">
        <f>IF(Axle_Data[[#This Row],[Tyre Size]]="n/a",Axle_Data[[#This Row],[Axle Code]],CONCATENATE(Axle_Data[[#This Row],[Axle Code]],": ",Axle_Data[[#This Row],[Tyre Size]]))</f>
        <v>PSADT</v>
      </c>
      <c r="F66" s="194" t="s">
        <v>7</v>
      </c>
      <c r="G66" s="216">
        <v>8.16</v>
      </c>
      <c r="H66" s="195">
        <v>8.5</v>
      </c>
      <c r="I66" s="195">
        <v>1</v>
      </c>
      <c r="J66" s="196" t="s">
        <v>22</v>
      </c>
    </row>
    <row r="67" spans="2:10" ht="17" customHeight="1" x14ac:dyDescent="0.35">
      <c r="B67" s="206" t="s">
        <v>43</v>
      </c>
      <c r="C67" s="205" t="s">
        <v>44</v>
      </c>
      <c r="D67" s="198" t="s">
        <v>202</v>
      </c>
      <c r="E67" s="198" t="str">
        <f>IF(Axle_Data[[#This Row],[Tyre Size]]="n/a",Axle_Data[[#This Row],[Axle Code]],CONCATENATE(Axle_Data[[#This Row],[Axle Code]],": ",Axle_Data[[#This Row],[Tyre Size]]))</f>
        <v>PTADT</v>
      </c>
      <c r="F67" s="198" t="s">
        <v>18</v>
      </c>
      <c r="G67" s="217">
        <v>13.77</v>
      </c>
      <c r="H67" s="199">
        <v>15</v>
      </c>
      <c r="I67" s="199"/>
      <c r="J67" s="203"/>
    </row>
    <row r="68" spans="2:10" ht="17" customHeight="1" x14ac:dyDescent="0.35">
      <c r="B68" s="206" t="s">
        <v>43</v>
      </c>
      <c r="C68" s="205" t="s">
        <v>44</v>
      </c>
      <c r="D68" s="198" t="s">
        <v>202</v>
      </c>
      <c r="E68" s="198" t="str">
        <f>IF(Axle_Data[[#This Row],[Tyre Size]]="n/a",Axle_Data[[#This Row],[Axle Code]],CONCATENATE(Axle_Data[[#This Row],[Axle Code]],": ",Axle_Data[[#This Row],[Tyre Size]]))</f>
        <v>PTADT</v>
      </c>
      <c r="F68" s="198" t="s">
        <v>20</v>
      </c>
      <c r="G68" s="217">
        <v>13.77</v>
      </c>
      <c r="H68" s="199">
        <v>15</v>
      </c>
      <c r="I68" s="199"/>
      <c r="J68" s="203"/>
    </row>
    <row r="69" spans="2:10" ht="17" customHeight="1" x14ac:dyDescent="0.35">
      <c r="B69" s="206" t="s">
        <v>43</v>
      </c>
      <c r="C69" s="205" t="s">
        <v>44</v>
      </c>
      <c r="D69" s="198" t="s">
        <v>202</v>
      </c>
      <c r="E69" s="198" t="str">
        <f>IF(Axle_Data[[#This Row],[Tyre Size]]="n/a",Axle_Data[[#This Row],[Axle Code]],CONCATENATE(Axle_Data[[#This Row],[Axle Code]],": ",Axle_Data[[#This Row],[Tyre Size]]))</f>
        <v>PTADT</v>
      </c>
      <c r="F69" s="198" t="s">
        <v>7</v>
      </c>
      <c r="G69" s="217">
        <v>13.77</v>
      </c>
      <c r="H69" s="199">
        <v>15</v>
      </c>
      <c r="I69" s="199">
        <v>1</v>
      </c>
      <c r="J69" s="200" t="s">
        <v>22</v>
      </c>
    </row>
    <row r="70" spans="2:10" ht="17" customHeight="1" x14ac:dyDescent="0.35">
      <c r="B70" s="208" t="s">
        <v>45</v>
      </c>
      <c r="C70" s="204" t="s">
        <v>46</v>
      </c>
      <c r="D70" s="194" t="s">
        <v>202</v>
      </c>
      <c r="E70" s="194" t="str">
        <f>IF(Axle_Data[[#This Row],[Tyre Size]]="n/a",Axle_Data[[#This Row],[Axle Code]],CONCATENATE(Axle_Data[[#This Row],[Axle Code]],": ",Axle_Data[[#This Row],[Tyre Size]]))</f>
        <v>PTRDT</v>
      </c>
      <c r="F70" s="194" t="s">
        <v>18</v>
      </c>
      <c r="G70" s="216">
        <v>18.46</v>
      </c>
      <c r="H70" s="195">
        <v>18</v>
      </c>
      <c r="I70" s="195"/>
      <c r="J70" s="210"/>
    </row>
    <row r="71" spans="2:10" ht="17" customHeight="1" x14ac:dyDescent="0.35">
      <c r="B71" s="208" t="s">
        <v>45</v>
      </c>
      <c r="C71" s="204" t="s">
        <v>46</v>
      </c>
      <c r="D71" s="194" t="s">
        <v>202</v>
      </c>
      <c r="E71" s="194" t="str">
        <f>IF(Axle_Data[[#This Row],[Tyre Size]]="n/a",Axle_Data[[#This Row],[Axle Code]],CONCATENATE(Axle_Data[[#This Row],[Axle Code]],": ",Axle_Data[[#This Row],[Tyre Size]]))</f>
        <v>PTRDT</v>
      </c>
      <c r="F71" s="194" t="s">
        <v>20</v>
      </c>
      <c r="G71" s="216">
        <v>18.46</v>
      </c>
      <c r="H71" s="195">
        <v>18</v>
      </c>
      <c r="I71" s="195"/>
      <c r="J71" s="210"/>
    </row>
    <row r="72" spans="2:10" ht="17" customHeight="1" x14ac:dyDescent="0.35">
      <c r="B72" s="211" t="s">
        <v>45</v>
      </c>
      <c r="C72" s="212" t="s">
        <v>46</v>
      </c>
      <c r="D72" s="213" t="s">
        <v>202</v>
      </c>
      <c r="E72" s="213" t="str">
        <f>IF(Axle_Data[[#This Row],[Tyre Size]]="n/a",Axle_Data[[#This Row],[Axle Code]],CONCATENATE(Axle_Data[[#This Row],[Axle Code]],": ",Axle_Data[[#This Row],[Tyre Size]]))</f>
        <v>PTRDT</v>
      </c>
      <c r="F72" s="194" t="s">
        <v>7</v>
      </c>
      <c r="G72" s="216">
        <v>18.46</v>
      </c>
      <c r="H72" s="214">
        <v>18</v>
      </c>
      <c r="I72" s="214">
        <v>1</v>
      </c>
      <c r="J72" s="215" t="s">
        <v>22</v>
      </c>
    </row>
    <row r="73" spans="2:10" ht="17" customHeight="1" x14ac:dyDescent="0.35">
      <c r="B73" s="1"/>
      <c r="C73" s="1"/>
    </row>
    <row r="74" spans="2:10" ht="29" x14ac:dyDescent="0.35">
      <c r="B74" s="1"/>
      <c r="C74" s="1"/>
      <c r="G74" s="219" t="s">
        <v>410</v>
      </c>
      <c r="H74" s="6" t="s">
        <v>36</v>
      </c>
      <c r="I74" s="6" t="s">
        <v>47</v>
      </c>
    </row>
    <row r="75" spans="2:10" ht="17" customHeight="1" x14ac:dyDescent="0.35">
      <c r="B75" s="15"/>
      <c r="C75" s="28"/>
    </row>
    <row r="76" spans="2:10" ht="17" customHeight="1" x14ac:dyDescent="0.35">
      <c r="B76" s="1"/>
      <c r="C76" s="1"/>
      <c r="G76" s="218"/>
    </row>
    <row r="77" spans="2:10" ht="17" customHeight="1" x14ac:dyDescent="0.35">
      <c r="B77" s="1"/>
      <c r="C77" s="1"/>
    </row>
    <row r="78" spans="2:10" ht="17" customHeight="1" x14ac:dyDescent="0.35">
      <c r="B78" s="1"/>
      <c r="C78" s="1"/>
    </row>
    <row r="79" spans="2:10" ht="17" customHeight="1" x14ac:dyDescent="0.35">
      <c r="B79" s="16"/>
      <c r="C79" s="16"/>
    </row>
    <row r="81" spans="2:3" ht="17" customHeight="1" x14ac:dyDescent="0.35">
      <c r="B81" s="8"/>
      <c r="C81" s="8"/>
    </row>
  </sheetData>
  <sheetProtection algorithmName="SHA-512" hashValue="/8YvarBw/LfjoPtGmzKYBr64fiLMz9Jh9dwJMWEOa/G3mL623WQhi9sU9mDz2RNfLvst7eBf1SSN9SOtvIdPxw==" saltValue="rjWS4dsgohJJmwNHD/Iiog==" spinCount="100000" sheet="1" objects="1" scenarios="1"/>
  <sortState xmlns:xlrd2="http://schemas.microsoft.com/office/spreadsheetml/2017/richdata2" ref="B57:B63">
    <sortCondition ref="B57:B63"/>
  </sortState>
  <phoneticPr fontId="8" type="noConversion"/>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FB159-0612-4286-96AB-669FC38B0AB6}">
  <sheetPr codeName="Sheet7">
    <tabColor theme="3" tint="0.79998168889431442"/>
  </sheetPr>
  <dimension ref="C1:AL226"/>
  <sheetViews>
    <sheetView showGridLines="0" showZeros="0" zoomScale="70" zoomScaleNormal="70" workbookViewId="0">
      <pane xSplit="3" ySplit="3" topLeftCell="D4" activePane="bottomRight" state="frozen"/>
      <selection activeCell="H31" sqref="H31"/>
      <selection pane="topRight" activeCell="H31" sqref="H31"/>
      <selection pane="bottomLeft" activeCell="H31" sqref="H31"/>
      <selection pane="bottomRight" activeCell="A7" sqref="A7"/>
    </sheetView>
  </sheetViews>
  <sheetFormatPr defaultRowHeight="14.5" x14ac:dyDescent="0.35"/>
  <cols>
    <col min="3" max="3" width="63.81640625" bestFit="1" customWidth="1"/>
    <col min="4" max="4" width="49.1796875" bestFit="1" customWidth="1"/>
    <col min="5" max="5" width="13.1796875" bestFit="1" customWidth="1"/>
    <col min="6" max="6" width="17.1796875" bestFit="1" customWidth="1"/>
    <col min="7" max="7" width="13.1796875" bestFit="1" customWidth="1"/>
    <col min="8" max="8" width="24.90625" bestFit="1" customWidth="1"/>
    <col min="9" max="9" width="11.54296875" bestFit="1" customWidth="1"/>
    <col min="10" max="10" width="14.7265625" bestFit="1" customWidth="1"/>
    <col min="11" max="11" width="7.08984375" bestFit="1" customWidth="1"/>
    <col min="12" max="12" width="16.453125" bestFit="1" customWidth="1"/>
    <col min="13" max="17" width="17.7265625" bestFit="1" customWidth="1"/>
    <col min="18" max="18" width="17" bestFit="1" customWidth="1"/>
    <col min="19" max="19" width="28.6328125" bestFit="1" customWidth="1"/>
    <col min="20" max="20" width="31.08984375" bestFit="1" customWidth="1"/>
    <col min="21" max="22" width="29.1796875" bestFit="1" customWidth="1"/>
    <col min="23" max="23" width="28.90625" bestFit="1" customWidth="1"/>
    <col min="24" max="24" width="29.1796875" bestFit="1" customWidth="1"/>
    <col min="25" max="25" width="28.90625" bestFit="1" customWidth="1"/>
    <col min="26" max="26" width="9.54296875" customWidth="1"/>
    <col min="27" max="27" width="42" bestFit="1" customWidth="1"/>
    <col min="28" max="28" width="10.453125" bestFit="1" customWidth="1"/>
    <col min="29" max="29" width="35.26953125" bestFit="1" customWidth="1"/>
    <col min="30" max="30" width="38.26953125" bestFit="1" customWidth="1"/>
    <col min="31" max="32" width="36.26953125" bestFit="1" customWidth="1"/>
    <col min="33" max="33" width="36.08984375" bestFit="1" customWidth="1"/>
    <col min="34" max="34" width="36.26953125" bestFit="1" customWidth="1"/>
    <col min="35" max="35" width="36.08984375" bestFit="1" customWidth="1"/>
    <col min="36" max="36" width="12.26953125" bestFit="1" customWidth="1"/>
    <col min="37" max="37" width="62.1796875" bestFit="1" customWidth="1"/>
    <col min="38" max="38" width="11" bestFit="1" customWidth="1"/>
  </cols>
  <sheetData>
    <row r="1" spans="3:38" x14ac:dyDescent="0.35">
      <c r="AC1" s="422" t="s">
        <v>309</v>
      </c>
      <c r="AD1" s="422"/>
      <c r="AE1" s="422"/>
      <c r="AF1" s="422"/>
      <c r="AG1" s="422"/>
      <c r="AH1" s="422"/>
      <c r="AI1" s="422"/>
      <c r="AJ1" s="422"/>
    </row>
    <row r="2" spans="3:38" x14ac:dyDescent="0.35">
      <c r="C2" s="423" t="s">
        <v>312</v>
      </c>
      <c r="D2" s="423"/>
      <c r="E2" s="423"/>
      <c r="F2" s="423"/>
      <c r="G2" s="423"/>
      <c r="H2" s="423"/>
      <c r="I2" s="424" t="s">
        <v>310</v>
      </c>
      <c r="J2" s="424"/>
      <c r="K2" s="424"/>
      <c r="L2" s="423" t="s">
        <v>311</v>
      </c>
      <c r="M2" s="423"/>
      <c r="N2" s="423"/>
      <c r="O2" s="423"/>
      <c r="P2" s="423"/>
      <c r="Q2" s="423"/>
      <c r="R2" s="423"/>
      <c r="S2" s="424" t="s">
        <v>313</v>
      </c>
      <c r="T2" s="424"/>
      <c r="U2" s="424"/>
      <c r="V2" s="424"/>
      <c r="W2" s="424"/>
      <c r="X2" s="424"/>
      <c r="Y2" s="424"/>
      <c r="Z2" s="424"/>
      <c r="AA2" s="424"/>
      <c r="AB2" s="424"/>
      <c r="AC2" s="422"/>
      <c r="AD2" s="422"/>
      <c r="AE2" s="422"/>
      <c r="AF2" s="422"/>
      <c r="AG2" s="422"/>
      <c r="AH2" s="422"/>
      <c r="AI2" s="422"/>
      <c r="AJ2" s="422"/>
    </row>
    <row r="3" spans="3:38" x14ac:dyDescent="0.35">
      <c r="C3" s="5" t="s">
        <v>228</v>
      </c>
      <c r="D3" s="5" t="s">
        <v>1</v>
      </c>
      <c r="E3" s="5" t="s">
        <v>151</v>
      </c>
      <c r="F3" s="5" t="s">
        <v>13</v>
      </c>
      <c r="G3" s="5" t="s">
        <v>149</v>
      </c>
      <c r="H3" s="5" t="s">
        <v>48</v>
      </c>
      <c r="I3" s="5" t="s">
        <v>49</v>
      </c>
      <c r="J3" s="5" t="s">
        <v>50</v>
      </c>
      <c r="K3" s="5" t="s">
        <v>229</v>
      </c>
      <c r="L3" s="5" t="s">
        <v>352</v>
      </c>
      <c r="M3" s="5" t="s">
        <v>353</v>
      </c>
      <c r="N3" s="5" t="s">
        <v>354</v>
      </c>
      <c r="O3" s="5" t="s">
        <v>355</v>
      </c>
      <c r="P3" s="5" t="s">
        <v>356</v>
      </c>
      <c r="Q3" s="5" t="s">
        <v>357</v>
      </c>
      <c r="R3" s="5" t="s">
        <v>358</v>
      </c>
      <c r="S3" s="5" t="s">
        <v>314</v>
      </c>
      <c r="T3" s="80" t="s">
        <v>315</v>
      </c>
      <c r="U3" s="5" t="s">
        <v>316</v>
      </c>
      <c r="V3" s="5" t="s">
        <v>317</v>
      </c>
      <c r="W3" s="5" t="s">
        <v>318</v>
      </c>
      <c r="X3" s="5" t="s">
        <v>319</v>
      </c>
      <c r="Y3" s="5" t="s">
        <v>320</v>
      </c>
      <c r="Z3" s="5" t="s">
        <v>328</v>
      </c>
      <c r="AA3" s="5" t="s">
        <v>241</v>
      </c>
      <c r="AB3" s="5" t="s">
        <v>329</v>
      </c>
      <c r="AC3" s="5" t="s">
        <v>321</v>
      </c>
      <c r="AD3" s="80" t="s">
        <v>322</v>
      </c>
      <c r="AE3" s="5" t="s">
        <v>323</v>
      </c>
      <c r="AF3" s="5" t="s">
        <v>324</v>
      </c>
      <c r="AG3" s="5" t="s">
        <v>325</v>
      </c>
      <c r="AH3" s="5" t="s">
        <v>326</v>
      </c>
      <c r="AI3" s="5" t="s">
        <v>327</v>
      </c>
      <c r="AJ3" s="5" t="s">
        <v>242</v>
      </c>
      <c r="AK3" s="5" t="s">
        <v>243</v>
      </c>
      <c r="AL3" s="5" t="s">
        <v>244</v>
      </c>
    </row>
    <row r="4" spans="3:38" x14ac:dyDescent="0.35">
      <c r="C4" s="10" t="str">
        <f t="shared" ref="C4:C67" si="0">IF(G4="n/a",CONCATENATE(E4," - ", D4," (",F4,")"),CONCATENATE(E4," - ", D4," (",F4,")",": ",G4))</f>
        <v>PBS - 3-axle truck and 3-axle dog trailer (GML): 1</v>
      </c>
      <c r="D4" s="10" t="s">
        <v>222</v>
      </c>
      <c r="E4" s="10" t="s">
        <v>147</v>
      </c>
      <c r="F4" s="10" t="s">
        <v>18</v>
      </c>
      <c r="G4" s="10" t="s">
        <v>3</v>
      </c>
      <c r="H4" t="s">
        <v>56</v>
      </c>
      <c r="I4" s="9">
        <v>48.5</v>
      </c>
      <c r="J4" s="14">
        <v>32.468699455535393</v>
      </c>
      <c r="K4" s="14">
        <f>Mass_Data[[#This Row],[GCM (t)]]-Mass_Data[[#This Row],[Payload (t)]]</f>
        <v>16.031300544464607</v>
      </c>
      <c r="L4" t="s">
        <v>8</v>
      </c>
      <c r="M4" t="s">
        <v>9</v>
      </c>
      <c r="N4" t="s">
        <v>24</v>
      </c>
      <c r="O4" t="s">
        <v>30</v>
      </c>
      <c r="P4">
        <v>0</v>
      </c>
      <c r="Q4">
        <v>0</v>
      </c>
      <c r="R4">
        <v>0</v>
      </c>
      <c r="S4" cm="1">
        <f t="array" ref="S4">_xlfn.XLOOKUP(Mass_Data[[#This Row],[axle group 1]]&amp;Mass_Data[[#This Row],[Mass Scheme]],Axle_Data[Axle Code]&amp;Axle_Data[Mass Scheme],Axle_Data[MDL Maximum Mass (t)],"",0)</f>
        <v>6.5</v>
      </c>
      <c r="T4" cm="1">
        <f t="array" ref="T4">_xlfn.XLOOKUP(Mass_Data[[#This Row],[axle group 2]]&amp;Mass_Data[[#This Row],[Mass Scheme]],Axle_Data[Axle Code]&amp;Axle_Data[Mass Scheme],Axle_Data[MDL Maximum Mass (t)],"",0)</f>
        <v>16.5</v>
      </c>
      <c r="U4" cm="1">
        <f t="array" ref="U4">_xlfn.XLOOKUP(Mass_Data[[#This Row],[axle group 3]]&amp;Mass_Data[[#This Row],[Mass Scheme]],Axle_Data[Axle Code]&amp;Axle_Data[Mass Scheme],Axle_Data[MDL Maximum Mass (t)],"",0)</f>
        <v>9</v>
      </c>
      <c r="V4" cm="1">
        <f t="array" ref="V4">_xlfn.XLOOKUP(Mass_Data[[#This Row],[axle group 4]]&amp;Mass_Data[[#This Row],[Mass Scheme]],Axle_Data[Axle Code]&amp;Axle_Data[Mass Scheme],Axle_Data[MDL Maximum Mass (t)],"",0)</f>
        <v>16.5</v>
      </c>
      <c r="W4" t="str" cm="1">
        <f t="array" ref="W4">_xlfn.XLOOKUP(Mass_Data[[#This Row],[axle group 5]]&amp;Mass_Data[[#This Row],[Mass Scheme]],Axle_Data[Axle Code]&amp;Axle_Data[Mass Scheme],Axle_Data[MDL Maximum Mass (t)],"",0)</f>
        <v/>
      </c>
      <c r="X4" t="str" cm="1">
        <f t="array" ref="X4">_xlfn.XLOOKUP(Mass_Data[[#This Row],[axle group 6]]&amp;Mass_Data[[#This Row],[Mass Scheme]],Axle_Data[Axle Code]&amp;Axle_Data[Mass Scheme],Axle_Data[MDL Maximum Mass (t)],"",0)</f>
        <v/>
      </c>
      <c r="Y4" t="str" cm="1">
        <f t="array" ref="Y4">_xlfn.XLOOKUP(Mass_Data[[#This Row],[axle group 7]]&amp;Mass_Data[[#This Row],[Mass Scheme]],Axle_Data[Axle Code]&amp;Axle_Data[Mass Scheme],Axle_Data[MDL Maximum Mass (t)],"",0)</f>
        <v/>
      </c>
      <c r="Z4" s="81">
        <f>SUM(Mass_Data[[#This Row],[MDL axle group 1 mass]:[MDL axle group 7 mass]])</f>
        <v>48.5</v>
      </c>
      <c r="AA4">
        <f>Mass_Data[[#This Row],[Total (1)]]-Mass_Data[[#This Row],[GCM (t)]]</f>
        <v>0</v>
      </c>
      <c r="AB4" t="str">
        <f>IF(Mass_Data[[#This Row],[Difference between MDL and GCM]]=0,"YES","NO")</f>
        <v>YES</v>
      </c>
      <c r="AC4" s="22">
        <f>IFERROR(IF(Mass_Data[[#This Row],[Check (1)]]="YES",Mass_Data[[#This Row],[MDL axle group 1 mass]],Mass_Data[[#This Row],[MDL axle group 1 mass]]-(Mass_Data[[#This Row],[Difference between MDL and GCM]]*(Mass_Data[[#This Row],[MDL axle group 1 mass]]/Mass_Data[[#This Row],[Total (1)]]))),"")</f>
        <v>6.5</v>
      </c>
      <c r="AD4" s="22">
        <f>IFERROR(IF(Mass_Data[[#This Row],[Check (1)]]="YES",Mass_Data[[#This Row],[MDL axle group 2 mass]],Mass_Data[[#This Row],[MDL axle group 2 mass]]-(Mass_Data[[#This Row],[Difference between MDL and GCM]]*(Mass_Data[[#This Row],[MDL axle group 2 mass]]/Mass_Data[[#This Row],[Total (1)]]))),"")</f>
        <v>16.5</v>
      </c>
      <c r="AE4" s="22">
        <f>IFERROR(IF(Mass_Data[[#This Row],[Check (1)]]="YES",Mass_Data[[#This Row],[MDL axle group 3 mass]],Mass_Data[[#This Row],[MDL axle group 3 mass]]-(Mass_Data[[#This Row],[Difference between MDL and GCM]]*(Mass_Data[[#This Row],[MDL axle group 3 mass]]/Mass_Data[[#This Row],[Total (1)]]))),"")</f>
        <v>9</v>
      </c>
      <c r="AF4" s="22">
        <f>IFERROR(IF(Mass_Data[[#This Row],[Check (1)]]="YES",Mass_Data[[#This Row],[MDL axle group 4 mass]],Mass_Data[[#This Row],[MDL axle group 4 mass]]-(Mass_Data[[#This Row],[Difference between MDL and GCM]]*(Mass_Data[[#This Row],[MDL axle group 4 mass]]/Mass_Data[[#This Row],[Total (1)]]))),"")</f>
        <v>16.5</v>
      </c>
      <c r="AG4" s="22" t="str">
        <f>IFERROR(IF(Mass_Data[[#This Row],[Check (1)]]="YES",Mass_Data[[#This Row],[MDL axle group 5 mass]],Mass_Data[[#This Row],[MDL axle group 5 mass]]-(Mass_Data[[#This Row],[Difference between MDL and GCM]]*(Mass_Data[[#This Row],[MDL axle group 5 mass]]/Mass_Data[[#This Row],[Total (1)]]))),"")</f>
        <v/>
      </c>
      <c r="AH4" s="22" t="str">
        <f>IFERROR(IF(Mass_Data[[#This Row],[Check (1)]]="YES",Mass_Data[[#This Row],[MDL axle group 6 mass]],Mass_Data[[#This Row],[MDL axle group 6 mass]]-(Mass_Data[[#This Row],[Difference between MDL and GCM]]*(Mass_Data[[#This Row],[MDL axle group 6 mass]]/Mass_Data[[#This Row],[Total (1)]]))),"")</f>
        <v/>
      </c>
      <c r="AI4" s="22" t="str">
        <f>IFERROR(IF(Mass_Data[[#This Row],[Check (1)]]="YES",Mass_Data[[#This Row],[MDL axle group 7 mass]],Mass_Data[[#This Row],[MDL axle group 7 mass]]-(Mass_Data[[#This Row],[Difference between MDL and GCM]]*(Mass_Data[[#This Row],[MDL axle group 7 mass]]/Mass_Data[[#This Row],[Total (1)]]))),"")</f>
        <v/>
      </c>
      <c r="AJ4" s="81">
        <f>SUM(Mass_Data[[#This Row],[Corrected axle group 1 mass]:[Corrected axle group 7 mass]])</f>
        <v>48.5</v>
      </c>
      <c r="AK4">
        <f>Mass_Data[[#This Row],[Total (2)]]-Mass_Data[[#This Row],[GCM (t)]]</f>
        <v>0</v>
      </c>
      <c r="AL4" t="str">
        <f>IF(Mass_Data[[#This Row],[Difference between MDL and corrected axle masses]]=0,"YES","NO")</f>
        <v>YES</v>
      </c>
    </row>
    <row r="5" spans="3:38" x14ac:dyDescent="0.35">
      <c r="C5" s="10" t="str">
        <f t="shared" si="0"/>
        <v>PBS - 3-axle truck and 3-axle dog trailer (GML): 2</v>
      </c>
      <c r="D5" s="10" t="s">
        <v>222</v>
      </c>
      <c r="E5" s="10" t="s">
        <v>147</v>
      </c>
      <c r="F5" s="10" t="s">
        <v>18</v>
      </c>
      <c r="G5" s="10" t="s">
        <v>4</v>
      </c>
      <c r="H5" t="s">
        <v>56</v>
      </c>
      <c r="I5" s="9">
        <v>48.5</v>
      </c>
      <c r="J5" s="14">
        <v>32.468699455535393</v>
      </c>
      <c r="K5" s="14">
        <f>Mass_Data[[#This Row],[GCM (t)]]-Mass_Data[[#This Row],[Payload (t)]]</f>
        <v>16.031300544464607</v>
      </c>
      <c r="L5" t="s">
        <v>8</v>
      </c>
      <c r="M5" t="s">
        <v>9</v>
      </c>
      <c r="N5" t="s">
        <v>24</v>
      </c>
      <c r="O5" t="s">
        <v>30</v>
      </c>
      <c r="P5">
        <v>0</v>
      </c>
      <c r="Q5">
        <v>0</v>
      </c>
      <c r="R5">
        <v>0</v>
      </c>
      <c r="S5" cm="1">
        <f t="array" ref="S5">_xlfn.XLOOKUP(Mass_Data[[#This Row],[axle group 1]]&amp;Mass_Data[[#This Row],[Mass Scheme]],Axle_Data[Axle Code]&amp;Axle_Data[Mass Scheme],Axle_Data[MDL Maximum Mass (t)],"",0)</f>
        <v>6.5</v>
      </c>
      <c r="T5" cm="1">
        <f t="array" ref="T5">_xlfn.XLOOKUP(Mass_Data[[#This Row],[axle group 2]]&amp;Mass_Data[[#This Row],[Mass Scheme]],Axle_Data[Axle Code]&amp;Axle_Data[Mass Scheme],Axle_Data[MDL Maximum Mass (t)],"",0)</f>
        <v>16.5</v>
      </c>
      <c r="U5" cm="1">
        <f t="array" ref="U5">_xlfn.XLOOKUP(Mass_Data[[#This Row],[axle group 3]]&amp;Mass_Data[[#This Row],[Mass Scheme]],Axle_Data[Axle Code]&amp;Axle_Data[Mass Scheme],Axle_Data[MDL Maximum Mass (t)],"",0)</f>
        <v>9</v>
      </c>
      <c r="V5" cm="1">
        <f t="array" ref="V5">_xlfn.XLOOKUP(Mass_Data[[#This Row],[axle group 4]]&amp;Mass_Data[[#This Row],[Mass Scheme]],Axle_Data[Axle Code]&amp;Axle_Data[Mass Scheme],Axle_Data[MDL Maximum Mass (t)],"",0)</f>
        <v>16.5</v>
      </c>
      <c r="W5" t="str" cm="1">
        <f t="array" ref="W5">_xlfn.XLOOKUP(Mass_Data[[#This Row],[axle group 5]]&amp;Mass_Data[[#This Row],[Mass Scheme]],Axle_Data[Axle Code]&amp;Axle_Data[Mass Scheme],Axle_Data[MDL Maximum Mass (t)],"",0)</f>
        <v/>
      </c>
      <c r="X5" t="str" cm="1">
        <f t="array" ref="X5">_xlfn.XLOOKUP(Mass_Data[[#This Row],[axle group 6]]&amp;Mass_Data[[#This Row],[Mass Scheme]],Axle_Data[Axle Code]&amp;Axle_Data[Mass Scheme],Axle_Data[MDL Maximum Mass (t)],"",0)</f>
        <v/>
      </c>
      <c r="Y5" t="str" cm="1">
        <f t="array" ref="Y5">_xlfn.XLOOKUP(Mass_Data[[#This Row],[axle group 7]]&amp;Mass_Data[[#This Row],[Mass Scheme]],Axle_Data[Axle Code]&amp;Axle_Data[Mass Scheme],Axle_Data[MDL Maximum Mass (t)],"",0)</f>
        <v/>
      </c>
      <c r="Z5" s="81">
        <f>SUM(Mass_Data[[#This Row],[MDL axle group 1 mass]:[MDL axle group 7 mass]])</f>
        <v>48.5</v>
      </c>
      <c r="AA5">
        <f>Mass_Data[[#This Row],[Total (1)]]-Mass_Data[[#This Row],[GCM (t)]]</f>
        <v>0</v>
      </c>
      <c r="AB5" t="str">
        <f>IF(Mass_Data[[#This Row],[Difference between MDL and GCM]]=0,"YES","NO")</f>
        <v>YES</v>
      </c>
      <c r="AC5" s="22">
        <f>IFERROR(IF(Mass_Data[[#This Row],[Check (1)]]="YES",Mass_Data[[#This Row],[MDL axle group 1 mass]],Mass_Data[[#This Row],[MDL axle group 1 mass]]-(Mass_Data[[#This Row],[Difference between MDL and GCM]]*(Mass_Data[[#This Row],[MDL axle group 1 mass]]/Mass_Data[[#This Row],[Total (1)]]))),"")</f>
        <v>6.5</v>
      </c>
      <c r="AD5" s="22">
        <f>IFERROR(IF(Mass_Data[[#This Row],[Check (1)]]="YES",Mass_Data[[#This Row],[MDL axle group 2 mass]],Mass_Data[[#This Row],[MDL axle group 2 mass]]-(Mass_Data[[#This Row],[Difference between MDL and GCM]]*(Mass_Data[[#This Row],[MDL axle group 2 mass]]/Mass_Data[[#This Row],[Total (1)]]))),"")</f>
        <v>16.5</v>
      </c>
      <c r="AE5" s="22">
        <f>IFERROR(IF(Mass_Data[[#This Row],[Check (1)]]="YES",Mass_Data[[#This Row],[MDL axle group 3 mass]],Mass_Data[[#This Row],[MDL axle group 3 mass]]-(Mass_Data[[#This Row],[Difference between MDL and GCM]]*(Mass_Data[[#This Row],[MDL axle group 3 mass]]/Mass_Data[[#This Row],[Total (1)]]))),"")</f>
        <v>9</v>
      </c>
      <c r="AF5" s="22">
        <f>IFERROR(IF(Mass_Data[[#This Row],[Check (1)]]="YES",Mass_Data[[#This Row],[MDL axle group 4 mass]],Mass_Data[[#This Row],[MDL axle group 4 mass]]-(Mass_Data[[#This Row],[Difference between MDL and GCM]]*(Mass_Data[[#This Row],[MDL axle group 4 mass]]/Mass_Data[[#This Row],[Total (1)]]))),"")</f>
        <v>16.5</v>
      </c>
      <c r="AG5" s="22" t="str">
        <f>IFERROR(IF(Mass_Data[[#This Row],[Check (1)]]="YES",Mass_Data[[#This Row],[MDL axle group 5 mass]],Mass_Data[[#This Row],[MDL axle group 5 mass]]-(Mass_Data[[#This Row],[Difference between MDL and GCM]]*(Mass_Data[[#This Row],[MDL axle group 5 mass]]/Mass_Data[[#This Row],[Total (1)]]))),"")</f>
        <v/>
      </c>
      <c r="AH5" s="22" t="str">
        <f>IFERROR(IF(Mass_Data[[#This Row],[Check (1)]]="YES",Mass_Data[[#This Row],[MDL axle group 6 mass]],Mass_Data[[#This Row],[MDL axle group 6 mass]]-(Mass_Data[[#This Row],[Difference between MDL and GCM]]*(Mass_Data[[#This Row],[MDL axle group 6 mass]]/Mass_Data[[#This Row],[Total (1)]]))),"")</f>
        <v/>
      </c>
      <c r="AI5" s="22" t="str">
        <f>IFERROR(IF(Mass_Data[[#This Row],[Check (1)]]="YES",Mass_Data[[#This Row],[MDL axle group 7 mass]],Mass_Data[[#This Row],[MDL axle group 7 mass]]-(Mass_Data[[#This Row],[Difference between MDL and GCM]]*(Mass_Data[[#This Row],[MDL axle group 7 mass]]/Mass_Data[[#This Row],[Total (1)]]))),"")</f>
        <v/>
      </c>
      <c r="AJ5" s="81">
        <f>SUM(Mass_Data[[#This Row],[Corrected axle group 1 mass]:[Corrected axle group 7 mass]])</f>
        <v>48.5</v>
      </c>
      <c r="AK5">
        <f>Mass_Data[[#This Row],[Total (2)]]-Mass_Data[[#This Row],[GCM (t)]]</f>
        <v>0</v>
      </c>
      <c r="AL5" s="22" t="str">
        <f>IF(Mass_Data[[#This Row],[Difference between MDL and corrected axle masses]]=0,"YES","NO")</f>
        <v>YES</v>
      </c>
    </row>
    <row r="6" spans="3:38" x14ac:dyDescent="0.35">
      <c r="C6" s="10" t="str">
        <f t="shared" si="0"/>
        <v>PBS - 3-axle truck and 3-axle dog trailer (CML): 2</v>
      </c>
      <c r="D6" s="10" t="s">
        <v>222</v>
      </c>
      <c r="E6" s="10" t="s">
        <v>147</v>
      </c>
      <c r="F6" s="10" t="s">
        <v>20</v>
      </c>
      <c r="G6" s="10" t="s">
        <v>4</v>
      </c>
      <c r="H6" t="s">
        <v>56</v>
      </c>
      <c r="I6" s="9">
        <v>49.5</v>
      </c>
      <c r="J6" s="14">
        <v>33.468699455535393</v>
      </c>
      <c r="K6" s="14">
        <f>Mass_Data[[#This Row],[GCM (t)]]-Mass_Data[[#This Row],[Payload (t)]]</f>
        <v>16.031300544464607</v>
      </c>
      <c r="L6" t="s">
        <v>8</v>
      </c>
      <c r="M6" t="s">
        <v>9</v>
      </c>
      <c r="N6" t="s">
        <v>24</v>
      </c>
      <c r="O6" t="s">
        <v>30</v>
      </c>
      <c r="P6">
        <v>0</v>
      </c>
      <c r="Q6">
        <v>0</v>
      </c>
      <c r="R6">
        <v>0</v>
      </c>
      <c r="S6" cm="1">
        <f t="array" ref="S6">_xlfn.XLOOKUP(Mass_Data[[#This Row],[axle group 1]]&amp;Mass_Data[[#This Row],[Mass Scheme]],Axle_Data[Axle Code]&amp;Axle_Data[Mass Scheme],Axle_Data[MDL Maximum Mass (t)],"",0)</f>
        <v>6.5</v>
      </c>
      <c r="T6" cm="1">
        <f t="array" ref="T6">_xlfn.XLOOKUP(Mass_Data[[#This Row],[axle group 2]]&amp;Mass_Data[[#This Row],[Mass Scheme]],Axle_Data[Axle Code]&amp;Axle_Data[Mass Scheme],Axle_Data[MDL Maximum Mass (t)],"",0)</f>
        <v>17</v>
      </c>
      <c r="U6" cm="1">
        <f t="array" ref="U6">_xlfn.XLOOKUP(Mass_Data[[#This Row],[axle group 3]]&amp;Mass_Data[[#This Row],[Mass Scheme]],Axle_Data[Axle Code]&amp;Axle_Data[Mass Scheme],Axle_Data[MDL Maximum Mass (t)],"",0)</f>
        <v>9</v>
      </c>
      <c r="V6" cm="1">
        <f t="array" ref="V6">_xlfn.XLOOKUP(Mass_Data[[#This Row],[axle group 4]]&amp;Mass_Data[[#This Row],[Mass Scheme]],Axle_Data[Axle Code]&amp;Axle_Data[Mass Scheme],Axle_Data[MDL Maximum Mass (t)],"",0)</f>
        <v>17</v>
      </c>
      <c r="W6" t="str" cm="1">
        <f t="array" ref="W6">_xlfn.XLOOKUP(Mass_Data[[#This Row],[axle group 5]]&amp;Mass_Data[[#This Row],[Mass Scheme]],Axle_Data[Axle Code]&amp;Axle_Data[Mass Scheme],Axle_Data[MDL Maximum Mass (t)],"",0)</f>
        <v/>
      </c>
      <c r="X6" t="str" cm="1">
        <f t="array" ref="X6">_xlfn.XLOOKUP(Mass_Data[[#This Row],[axle group 6]]&amp;Mass_Data[[#This Row],[Mass Scheme]],Axle_Data[Axle Code]&amp;Axle_Data[Mass Scheme],Axle_Data[MDL Maximum Mass (t)],"",0)</f>
        <v/>
      </c>
      <c r="Y6" t="str" cm="1">
        <f t="array" ref="Y6">_xlfn.XLOOKUP(Mass_Data[[#This Row],[axle group 7]]&amp;Mass_Data[[#This Row],[Mass Scheme]],Axle_Data[Axle Code]&amp;Axle_Data[Mass Scheme],Axle_Data[MDL Maximum Mass (t)],"",0)</f>
        <v/>
      </c>
      <c r="Z6" s="81">
        <f>SUM(Mass_Data[[#This Row],[MDL axle group 1 mass]:[MDL axle group 7 mass]])</f>
        <v>49.5</v>
      </c>
      <c r="AA6">
        <f>Mass_Data[[#This Row],[Total (1)]]-Mass_Data[[#This Row],[GCM (t)]]</f>
        <v>0</v>
      </c>
      <c r="AB6" t="str">
        <f>IF(Mass_Data[[#This Row],[Difference between MDL and GCM]]=0,"YES","NO")</f>
        <v>YES</v>
      </c>
      <c r="AC6" s="22">
        <f>IFERROR(IF(Mass_Data[[#This Row],[Check (1)]]="YES",Mass_Data[[#This Row],[MDL axle group 1 mass]],Mass_Data[[#This Row],[MDL axle group 1 mass]]-(Mass_Data[[#This Row],[Difference between MDL and GCM]]*(Mass_Data[[#This Row],[MDL axle group 1 mass]]/Mass_Data[[#This Row],[Total (1)]]))),"")</f>
        <v>6.5</v>
      </c>
      <c r="AD6" s="22">
        <f>IFERROR(IF(Mass_Data[[#This Row],[Check (1)]]="YES",Mass_Data[[#This Row],[MDL axle group 2 mass]],Mass_Data[[#This Row],[MDL axle group 2 mass]]-(Mass_Data[[#This Row],[Difference between MDL and GCM]]*(Mass_Data[[#This Row],[MDL axle group 2 mass]]/Mass_Data[[#This Row],[Total (1)]]))),"")</f>
        <v>17</v>
      </c>
      <c r="AE6" s="22">
        <f>IFERROR(IF(Mass_Data[[#This Row],[Check (1)]]="YES",Mass_Data[[#This Row],[MDL axle group 3 mass]],Mass_Data[[#This Row],[MDL axle group 3 mass]]-(Mass_Data[[#This Row],[Difference between MDL and GCM]]*(Mass_Data[[#This Row],[MDL axle group 3 mass]]/Mass_Data[[#This Row],[Total (1)]]))),"")</f>
        <v>9</v>
      </c>
      <c r="AF6" s="22">
        <f>IFERROR(IF(Mass_Data[[#This Row],[Check (1)]]="YES",Mass_Data[[#This Row],[MDL axle group 4 mass]],Mass_Data[[#This Row],[MDL axle group 4 mass]]-(Mass_Data[[#This Row],[Difference between MDL and GCM]]*(Mass_Data[[#This Row],[MDL axle group 4 mass]]/Mass_Data[[#This Row],[Total (1)]]))),"")</f>
        <v>17</v>
      </c>
      <c r="AG6" s="22" t="str">
        <f>IFERROR(IF(Mass_Data[[#This Row],[Check (1)]]="YES",Mass_Data[[#This Row],[MDL axle group 5 mass]],Mass_Data[[#This Row],[MDL axle group 5 mass]]-(Mass_Data[[#This Row],[Difference between MDL and GCM]]*(Mass_Data[[#This Row],[MDL axle group 5 mass]]/Mass_Data[[#This Row],[Total (1)]]))),"")</f>
        <v/>
      </c>
      <c r="AH6" s="22" t="str">
        <f>IFERROR(IF(Mass_Data[[#This Row],[Check (1)]]="YES",Mass_Data[[#This Row],[MDL axle group 6 mass]],Mass_Data[[#This Row],[MDL axle group 6 mass]]-(Mass_Data[[#This Row],[Difference between MDL and GCM]]*(Mass_Data[[#This Row],[MDL axle group 6 mass]]/Mass_Data[[#This Row],[Total (1)]]))),"")</f>
        <v/>
      </c>
      <c r="AI6" s="22" t="str">
        <f>IFERROR(IF(Mass_Data[[#This Row],[Check (1)]]="YES",Mass_Data[[#This Row],[MDL axle group 7 mass]],Mass_Data[[#This Row],[MDL axle group 7 mass]]-(Mass_Data[[#This Row],[Difference between MDL and GCM]]*(Mass_Data[[#This Row],[MDL axle group 7 mass]]/Mass_Data[[#This Row],[Total (1)]]))),"")</f>
        <v/>
      </c>
      <c r="AJ6" s="81">
        <f>SUM(Mass_Data[[#This Row],[Corrected axle group 1 mass]:[Corrected axle group 7 mass]])</f>
        <v>49.5</v>
      </c>
      <c r="AK6">
        <f>Mass_Data[[#This Row],[Total (2)]]-Mass_Data[[#This Row],[GCM (t)]]</f>
        <v>0</v>
      </c>
      <c r="AL6" s="22" t="str">
        <f>IF(Mass_Data[[#This Row],[Difference between MDL and corrected axle masses]]=0,"YES","NO")</f>
        <v>YES</v>
      </c>
    </row>
    <row r="7" spans="3:38" x14ac:dyDescent="0.35">
      <c r="C7" s="10" t="str">
        <f t="shared" si="0"/>
        <v>PBS - 3-axle truck and 3-axle dog trailer (HML): 2</v>
      </c>
      <c r="D7" s="10" t="s">
        <v>222</v>
      </c>
      <c r="E7" s="10" t="s">
        <v>147</v>
      </c>
      <c r="F7" s="10" t="s">
        <v>7</v>
      </c>
      <c r="G7" s="10" t="s">
        <v>4</v>
      </c>
      <c r="H7" t="s">
        <v>56</v>
      </c>
      <c r="I7" s="9">
        <v>49.5</v>
      </c>
      <c r="J7" s="14">
        <v>33.468699455535393</v>
      </c>
      <c r="K7" s="14">
        <f>Mass_Data[[#This Row],[GCM (t)]]-Mass_Data[[#This Row],[Payload (t)]]</f>
        <v>16.031300544464607</v>
      </c>
      <c r="L7" t="s">
        <v>8</v>
      </c>
      <c r="M7" t="s">
        <v>9</v>
      </c>
      <c r="N7" t="s">
        <v>24</v>
      </c>
      <c r="O7" t="s">
        <v>30</v>
      </c>
      <c r="P7">
        <v>0</v>
      </c>
      <c r="Q7">
        <v>0</v>
      </c>
      <c r="R7">
        <v>0</v>
      </c>
      <c r="S7" cm="1">
        <f t="array" ref="S7">_xlfn.XLOOKUP(Mass_Data[[#This Row],[axle group 1]]&amp;Mass_Data[[#This Row],[Mass Scheme]],Axle_Data[Axle Code]&amp;Axle_Data[Mass Scheme],Axle_Data[MDL Maximum Mass (t)],"",0)</f>
        <v>6.5</v>
      </c>
      <c r="T7" cm="1">
        <f t="array" ref="T7">_xlfn.XLOOKUP(Mass_Data[[#This Row],[axle group 2]]&amp;Mass_Data[[#This Row],[Mass Scheme]],Axle_Data[Axle Code]&amp;Axle_Data[Mass Scheme],Axle_Data[MDL Maximum Mass (t)],"",0)</f>
        <v>17</v>
      </c>
      <c r="U7" cm="1">
        <f t="array" ref="U7">_xlfn.XLOOKUP(Mass_Data[[#This Row],[axle group 3]]&amp;Mass_Data[[#This Row],[Mass Scheme]],Axle_Data[Axle Code]&amp;Axle_Data[Mass Scheme],Axle_Data[MDL Maximum Mass (t)],"",0)</f>
        <v>9</v>
      </c>
      <c r="V7" cm="1">
        <f t="array" ref="V7">_xlfn.XLOOKUP(Mass_Data[[#This Row],[axle group 4]]&amp;Mass_Data[[#This Row],[Mass Scheme]],Axle_Data[Axle Code]&amp;Axle_Data[Mass Scheme],Axle_Data[MDL Maximum Mass (t)],"",0)</f>
        <v>17</v>
      </c>
      <c r="W7" t="str" cm="1">
        <f t="array" ref="W7">_xlfn.XLOOKUP(Mass_Data[[#This Row],[axle group 5]]&amp;Mass_Data[[#This Row],[Mass Scheme]],Axle_Data[Axle Code]&amp;Axle_Data[Mass Scheme],Axle_Data[MDL Maximum Mass (t)],"",0)</f>
        <v/>
      </c>
      <c r="X7" t="str" cm="1">
        <f t="array" ref="X7">_xlfn.XLOOKUP(Mass_Data[[#This Row],[axle group 6]]&amp;Mass_Data[[#This Row],[Mass Scheme]],Axle_Data[Axle Code]&amp;Axle_Data[Mass Scheme],Axle_Data[MDL Maximum Mass (t)],"",0)</f>
        <v/>
      </c>
      <c r="Y7" t="str" cm="1">
        <f t="array" ref="Y7">_xlfn.XLOOKUP(Mass_Data[[#This Row],[axle group 7]]&amp;Mass_Data[[#This Row],[Mass Scheme]],Axle_Data[Axle Code]&amp;Axle_Data[Mass Scheme],Axle_Data[MDL Maximum Mass (t)],"",0)</f>
        <v/>
      </c>
      <c r="Z7" s="81">
        <f>SUM(Mass_Data[[#This Row],[MDL axle group 1 mass]:[MDL axle group 7 mass]])</f>
        <v>49.5</v>
      </c>
      <c r="AA7">
        <f>Mass_Data[[#This Row],[Total (1)]]-Mass_Data[[#This Row],[GCM (t)]]</f>
        <v>0</v>
      </c>
      <c r="AB7" t="str">
        <f>IF(Mass_Data[[#This Row],[Difference between MDL and GCM]]=0,"YES","NO")</f>
        <v>YES</v>
      </c>
      <c r="AC7" s="22">
        <f>IFERROR(IF(Mass_Data[[#This Row],[Check (1)]]="YES",Mass_Data[[#This Row],[MDL axle group 1 mass]],Mass_Data[[#This Row],[MDL axle group 1 mass]]-(Mass_Data[[#This Row],[Difference between MDL and GCM]]*(Mass_Data[[#This Row],[MDL axle group 1 mass]]/Mass_Data[[#This Row],[Total (1)]]))),"")</f>
        <v>6.5</v>
      </c>
      <c r="AD7" s="22">
        <f>IFERROR(IF(Mass_Data[[#This Row],[Check (1)]]="YES",Mass_Data[[#This Row],[MDL axle group 2 mass]],Mass_Data[[#This Row],[MDL axle group 2 mass]]-(Mass_Data[[#This Row],[Difference between MDL and GCM]]*(Mass_Data[[#This Row],[MDL axle group 2 mass]]/Mass_Data[[#This Row],[Total (1)]]))),"")</f>
        <v>17</v>
      </c>
      <c r="AE7" s="22">
        <f>IFERROR(IF(Mass_Data[[#This Row],[Check (1)]]="YES",Mass_Data[[#This Row],[MDL axle group 3 mass]],Mass_Data[[#This Row],[MDL axle group 3 mass]]-(Mass_Data[[#This Row],[Difference between MDL and GCM]]*(Mass_Data[[#This Row],[MDL axle group 3 mass]]/Mass_Data[[#This Row],[Total (1)]]))),"")</f>
        <v>9</v>
      </c>
      <c r="AF7" s="22">
        <f>IFERROR(IF(Mass_Data[[#This Row],[Check (1)]]="YES",Mass_Data[[#This Row],[MDL axle group 4 mass]],Mass_Data[[#This Row],[MDL axle group 4 mass]]-(Mass_Data[[#This Row],[Difference between MDL and GCM]]*(Mass_Data[[#This Row],[MDL axle group 4 mass]]/Mass_Data[[#This Row],[Total (1)]]))),"")</f>
        <v>17</v>
      </c>
      <c r="AG7" s="22" t="str">
        <f>IFERROR(IF(Mass_Data[[#This Row],[Check (1)]]="YES",Mass_Data[[#This Row],[MDL axle group 5 mass]],Mass_Data[[#This Row],[MDL axle group 5 mass]]-(Mass_Data[[#This Row],[Difference between MDL and GCM]]*(Mass_Data[[#This Row],[MDL axle group 5 mass]]/Mass_Data[[#This Row],[Total (1)]]))),"")</f>
        <v/>
      </c>
      <c r="AH7" s="22" t="str">
        <f>IFERROR(IF(Mass_Data[[#This Row],[Check (1)]]="YES",Mass_Data[[#This Row],[MDL axle group 6 mass]],Mass_Data[[#This Row],[MDL axle group 6 mass]]-(Mass_Data[[#This Row],[Difference between MDL and GCM]]*(Mass_Data[[#This Row],[MDL axle group 6 mass]]/Mass_Data[[#This Row],[Total (1)]]))),"")</f>
        <v/>
      </c>
      <c r="AI7" s="22" t="str">
        <f>IFERROR(IF(Mass_Data[[#This Row],[Check (1)]]="YES",Mass_Data[[#This Row],[MDL axle group 7 mass]],Mass_Data[[#This Row],[MDL axle group 7 mass]]-(Mass_Data[[#This Row],[Difference between MDL and GCM]]*(Mass_Data[[#This Row],[MDL axle group 7 mass]]/Mass_Data[[#This Row],[Total (1)]]))),"")</f>
        <v/>
      </c>
      <c r="AJ7" s="81">
        <f>SUM(Mass_Data[[#This Row],[Corrected axle group 1 mass]:[Corrected axle group 7 mass]])</f>
        <v>49.5</v>
      </c>
      <c r="AK7">
        <f>Mass_Data[[#This Row],[Total (2)]]-Mass_Data[[#This Row],[GCM (t)]]</f>
        <v>0</v>
      </c>
      <c r="AL7" s="22" t="str">
        <f>IF(Mass_Data[[#This Row],[Difference between MDL and corrected axle masses]]=0,"YES","NO")</f>
        <v>YES</v>
      </c>
    </row>
    <row r="8" spans="3:38" x14ac:dyDescent="0.35">
      <c r="C8" s="10" t="str">
        <f t="shared" si="0"/>
        <v>PBS - 3-axle truck and 4-axle dog trailer (GML): 1</v>
      </c>
      <c r="D8" s="10" t="s">
        <v>219</v>
      </c>
      <c r="E8" s="10" t="s">
        <v>147</v>
      </c>
      <c r="F8" s="10" t="s">
        <v>18</v>
      </c>
      <c r="G8" s="10" t="s">
        <v>3</v>
      </c>
      <c r="H8" t="s">
        <v>59</v>
      </c>
      <c r="I8" s="9">
        <v>50.5</v>
      </c>
      <c r="J8" s="14">
        <v>32.700914574898782</v>
      </c>
      <c r="K8" s="14">
        <f>Mass_Data[[#This Row],[GCM (t)]]-Mass_Data[[#This Row],[Payload (t)]]</f>
        <v>17.799085425101218</v>
      </c>
      <c r="L8" t="s">
        <v>8</v>
      </c>
      <c r="M8" t="s">
        <v>9</v>
      </c>
      <c r="N8" t="s">
        <v>30</v>
      </c>
      <c r="O8" t="s">
        <v>30</v>
      </c>
      <c r="P8">
        <v>0</v>
      </c>
      <c r="Q8">
        <v>0</v>
      </c>
      <c r="R8">
        <v>0</v>
      </c>
      <c r="S8" cm="1">
        <f t="array" ref="S8">_xlfn.XLOOKUP(Mass_Data[[#This Row],[axle group 1]]&amp;Mass_Data[[#This Row],[Mass Scheme]],Axle_Data[Axle Code]&amp;Axle_Data[Mass Scheme],Axle_Data[MDL Maximum Mass (t)],"",0)</f>
        <v>6.5</v>
      </c>
      <c r="T8" cm="1">
        <f t="array" ref="T8">_xlfn.XLOOKUP(Mass_Data[[#This Row],[axle group 2]]&amp;Mass_Data[[#This Row],[Mass Scheme]],Axle_Data[Axle Code]&amp;Axle_Data[Mass Scheme],Axle_Data[MDL Maximum Mass (t)],"",0)</f>
        <v>16.5</v>
      </c>
      <c r="U8" cm="1">
        <f t="array" ref="U8">_xlfn.XLOOKUP(Mass_Data[[#This Row],[axle group 3]]&amp;Mass_Data[[#This Row],[Mass Scheme]],Axle_Data[Axle Code]&amp;Axle_Data[Mass Scheme],Axle_Data[MDL Maximum Mass (t)],"",0)</f>
        <v>16.5</v>
      </c>
      <c r="V8" cm="1">
        <f t="array" ref="V8">_xlfn.XLOOKUP(Mass_Data[[#This Row],[axle group 4]]&amp;Mass_Data[[#This Row],[Mass Scheme]],Axle_Data[Axle Code]&amp;Axle_Data[Mass Scheme],Axle_Data[MDL Maximum Mass (t)],"",0)</f>
        <v>16.5</v>
      </c>
      <c r="W8" t="str" cm="1">
        <f t="array" ref="W8">_xlfn.XLOOKUP(Mass_Data[[#This Row],[axle group 5]]&amp;Mass_Data[[#This Row],[Mass Scheme]],Axle_Data[Axle Code]&amp;Axle_Data[Mass Scheme],Axle_Data[MDL Maximum Mass (t)],"",0)</f>
        <v/>
      </c>
      <c r="X8" t="str" cm="1">
        <f t="array" ref="X8">_xlfn.XLOOKUP(Mass_Data[[#This Row],[axle group 6]]&amp;Mass_Data[[#This Row],[Mass Scheme]],Axle_Data[Axle Code]&amp;Axle_Data[Mass Scheme],Axle_Data[MDL Maximum Mass (t)],"",0)</f>
        <v/>
      </c>
      <c r="Y8" t="str" cm="1">
        <f t="array" ref="Y8">_xlfn.XLOOKUP(Mass_Data[[#This Row],[axle group 7]]&amp;Mass_Data[[#This Row],[Mass Scheme]],Axle_Data[Axle Code]&amp;Axle_Data[Mass Scheme],Axle_Data[MDL Maximum Mass (t)],"",0)</f>
        <v/>
      </c>
      <c r="Z8" s="81">
        <f>SUM(Mass_Data[[#This Row],[MDL axle group 1 mass]:[MDL axle group 7 mass]])</f>
        <v>56</v>
      </c>
      <c r="AA8">
        <f>Mass_Data[[#This Row],[Total (1)]]-Mass_Data[[#This Row],[GCM (t)]]</f>
        <v>5.5</v>
      </c>
      <c r="AB8" t="str">
        <f>IF(Mass_Data[[#This Row],[Difference between MDL and GCM]]=0,"YES","NO")</f>
        <v>NO</v>
      </c>
      <c r="AC8" s="22">
        <f>IFERROR(IF(Mass_Data[[#This Row],[Check (1)]]="YES",Mass_Data[[#This Row],[MDL axle group 1 mass]],Mass_Data[[#This Row],[MDL axle group 1 mass]]-(Mass_Data[[#This Row],[Difference between MDL and GCM]]*(Mass_Data[[#This Row],[MDL axle group 1 mass]]/Mass_Data[[#This Row],[Total (1)]]))),"")</f>
        <v>5.8616071428571423</v>
      </c>
      <c r="AD8" s="22">
        <f>IFERROR(IF(Mass_Data[[#This Row],[Check (1)]]="YES",Mass_Data[[#This Row],[MDL axle group 2 mass]],Mass_Data[[#This Row],[MDL axle group 2 mass]]-(Mass_Data[[#This Row],[Difference between MDL and GCM]]*(Mass_Data[[#This Row],[MDL axle group 2 mass]]/Mass_Data[[#This Row],[Total (1)]]))),"")</f>
        <v>14.879464285714285</v>
      </c>
      <c r="AE8" s="22">
        <f>IFERROR(IF(Mass_Data[[#This Row],[Check (1)]]="YES",Mass_Data[[#This Row],[MDL axle group 3 mass]],Mass_Data[[#This Row],[MDL axle group 3 mass]]-(Mass_Data[[#This Row],[Difference between MDL and GCM]]*(Mass_Data[[#This Row],[MDL axle group 3 mass]]/Mass_Data[[#This Row],[Total (1)]]))),"")</f>
        <v>14.879464285714285</v>
      </c>
      <c r="AF8" s="22">
        <f>IFERROR(IF(Mass_Data[[#This Row],[Check (1)]]="YES",Mass_Data[[#This Row],[MDL axle group 4 mass]],Mass_Data[[#This Row],[MDL axle group 4 mass]]-(Mass_Data[[#This Row],[Difference between MDL and GCM]]*(Mass_Data[[#This Row],[MDL axle group 4 mass]]/Mass_Data[[#This Row],[Total (1)]]))),"")</f>
        <v>14.879464285714285</v>
      </c>
      <c r="AG8" s="22" t="str">
        <f>IFERROR(IF(Mass_Data[[#This Row],[Check (1)]]="YES",Mass_Data[[#This Row],[MDL axle group 5 mass]],Mass_Data[[#This Row],[MDL axle group 5 mass]]-(Mass_Data[[#This Row],[Difference between MDL and GCM]]*(Mass_Data[[#This Row],[MDL axle group 5 mass]]/Mass_Data[[#This Row],[Total (1)]]))),"")</f>
        <v/>
      </c>
      <c r="AH8" s="22" t="str">
        <f>IFERROR(IF(Mass_Data[[#This Row],[Check (1)]]="YES",Mass_Data[[#This Row],[MDL axle group 6 mass]],Mass_Data[[#This Row],[MDL axle group 6 mass]]-(Mass_Data[[#This Row],[Difference between MDL and GCM]]*(Mass_Data[[#This Row],[MDL axle group 6 mass]]/Mass_Data[[#This Row],[Total (1)]]))),"")</f>
        <v/>
      </c>
      <c r="AI8" s="22" t="str">
        <f>IFERROR(IF(Mass_Data[[#This Row],[Check (1)]]="YES",Mass_Data[[#This Row],[MDL axle group 7 mass]],Mass_Data[[#This Row],[MDL axle group 7 mass]]-(Mass_Data[[#This Row],[Difference between MDL and GCM]]*(Mass_Data[[#This Row],[MDL axle group 7 mass]]/Mass_Data[[#This Row],[Total (1)]]))),"")</f>
        <v/>
      </c>
      <c r="AJ8" s="81">
        <f>SUM(Mass_Data[[#This Row],[Corrected axle group 1 mass]:[Corrected axle group 7 mass]])</f>
        <v>50.499999999999993</v>
      </c>
      <c r="AK8">
        <f>Mass_Data[[#This Row],[Total (2)]]-Mass_Data[[#This Row],[GCM (t)]]</f>
        <v>0</v>
      </c>
      <c r="AL8" s="22" t="str">
        <f>IF(Mass_Data[[#This Row],[Difference between MDL and corrected axle masses]]=0,"YES","NO")</f>
        <v>YES</v>
      </c>
    </row>
    <row r="9" spans="3:38" x14ac:dyDescent="0.35">
      <c r="C9" s="10" t="str">
        <f t="shared" si="0"/>
        <v>PBS - 3-axle truck and 4-axle dog trailer (GML): 2</v>
      </c>
      <c r="D9" s="10" t="s">
        <v>219</v>
      </c>
      <c r="E9" s="10" t="s">
        <v>147</v>
      </c>
      <c r="F9" s="10" t="s">
        <v>18</v>
      </c>
      <c r="G9" s="10" t="s">
        <v>4</v>
      </c>
      <c r="H9" t="s">
        <v>59</v>
      </c>
      <c r="I9" s="9">
        <v>56</v>
      </c>
      <c r="J9" s="14">
        <v>38.200914574898782</v>
      </c>
      <c r="K9" s="14">
        <f>Mass_Data[[#This Row],[GCM (t)]]-Mass_Data[[#This Row],[Payload (t)]]</f>
        <v>17.799085425101218</v>
      </c>
      <c r="L9" t="s">
        <v>8</v>
      </c>
      <c r="M9" t="s">
        <v>9</v>
      </c>
      <c r="N9" t="s">
        <v>30</v>
      </c>
      <c r="O9" t="s">
        <v>30</v>
      </c>
      <c r="P9">
        <v>0</v>
      </c>
      <c r="Q9">
        <v>0</v>
      </c>
      <c r="R9">
        <v>0</v>
      </c>
      <c r="S9" cm="1">
        <f t="array" ref="S9">_xlfn.XLOOKUP(Mass_Data[[#This Row],[axle group 1]]&amp;Mass_Data[[#This Row],[Mass Scheme]],Axle_Data[Axle Code]&amp;Axle_Data[Mass Scheme],Axle_Data[MDL Maximum Mass (t)],"",0)</f>
        <v>6.5</v>
      </c>
      <c r="T9" cm="1">
        <f t="array" ref="T9">_xlfn.XLOOKUP(Mass_Data[[#This Row],[axle group 2]]&amp;Mass_Data[[#This Row],[Mass Scheme]],Axle_Data[Axle Code]&amp;Axle_Data[Mass Scheme],Axle_Data[MDL Maximum Mass (t)],"",0)</f>
        <v>16.5</v>
      </c>
      <c r="U9" cm="1">
        <f t="array" ref="U9">_xlfn.XLOOKUP(Mass_Data[[#This Row],[axle group 3]]&amp;Mass_Data[[#This Row],[Mass Scheme]],Axle_Data[Axle Code]&amp;Axle_Data[Mass Scheme],Axle_Data[MDL Maximum Mass (t)],"",0)</f>
        <v>16.5</v>
      </c>
      <c r="V9" cm="1">
        <f t="array" ref="V9">_xlfn.XLOOKUP(Mass_Data[[#This Row],[axle group 4]]&amp;Mass_Data[[#This Row],[Mass Scheme]],Axle_Data[Axle Code]&amp;Axle_Data[Mass Scheme],Axle_Data[MDL Maximum Mass (t)],"",0)</f>
        <v>16.5</v>
      </c>
      <c r="W9" t="str" cm="1">
        <f t="array" ref="W9">_xlfn.XLOOKUP(Mass_Data[[#This Row],[axle group 5]]&amp;Mass_Data[[#This Row],[Mass Scheme]],Axle_Data[Axle Code]&amp;Axle_Data[Mass Scheme],Axle_Data[MDL Maximum Mass (t)],"",0)</f>
        <v/>
      </c>
      <c r="X9" t="str" cm="1">
        <f t="array" ref="X9">_xlfn.XLOOKUP(Mass_Data[[#This Row],[axle group 6]]&amp;Mass_Data[[#This Row],[Mass Scheme]],Axle_Data[Axle Code]&amp;Axle_Data[Mass Scheme],Axle_Data[MDL Maximum Mass (t)],"",0)</f>
        <v/>
      </c>
      <c r="Y9" t="str" cm="1">
        <f t="array" ref="Y9">_xlfn.XLOOKUP(Mass_Data[[#This Row],[axle group 7]]&amp;Mass_Data[[#This Row],[Mass Scheme]],Axle_Data[Axle Code]&amp;Axle_Data[Mass Scheme],Axle_Data[MDL Maximum Mass (t)],"",0)</f>
        <v/>
      </c>
      <c r="Z9" s="81">
        <f>SUM(Mass_Data[[#This Row],[MDL axle group 1 mass]:[MDL axle group 7 mass]])</f>
        <v>56</v>
      </c>
      <c r="AA9">
        <f>Mass_Data[[#This Row],[Total (1)]]-Mass_Data[[#This Row],[GCM (t)]]</f>
        <v>0</v>
      </c>
      <c r="AB9" t="str">
        <f>IF(Mass_Data[[#This Row],[Difference between MDL and GCM]]=0,"YES","NO")</f>
        <v>YES</v>
      </c>
      <c r="AC9" s="22">
        <f>IFERROR(IF(Mass_Data[[#This Row],[Check (1)]]="YES",Mass_Data[[#This Row],[MDL axle group 1 mass]],Mass_Data[[#This Row],[MDL axle group 1 mass]]-(Mass_Data[[#This Row],[Difference between MDL and GCM]]*(Mass_Data[[#This Row],[MDL axle group 1 mass]]/Mass_Data[[#This Row],[Total (1)]]))),"")</f>
        <v>6.5</v>
      </c>
      <c r="AD9" s="22">
        <f>IFERROR(IF(Mass_Data[[#This Row],[Check (1)]]="YES",Mass_Data[[#This Row],[MDL axle group 2 mass]],Mass_Data[[#This Row],[MDL axle group 2 mass]]-(Mass_Data[[#This Row],[Difference between MDL and GCM]]*(Mass_Data[[#This Row],[MDL axle group 2 mass]]/Mass_Data[[#This Row],[Total (1)]]))),"")</f>
        <v>16.5</v>
      </c>
      <c r="AE9" s="22">
        <f>IFERROR(IF(Mass_Data[[#This Row],[Check (1)]]="YES",Mass_Data[[#This Row],[MDL axle group 3 mass]],Mass_Data[[#This Row],[MDL axle group 3 mass]]-(Mass_Data[[#This Row],[Difference between MDL and GCM]]*(Mass_Data[[#This Row],[MDL axle group 3 mass]]/Mass_Data[[#This Row],[Total (1)]]))),"")</f>
        <v>16.5</v>
      </c>
      <c r="AF9" s="22">
        <f>IFERROR(IF(Mass_Data[[#This Row],[Check (1)]]="YES",Mass_Data[[#This Row],[MDL axle group 4 mass]],Mass_Data[[#This Row],[MDL axle group 4 mass]]-(Mass_Data[[#This Row],[Difference between MDL and GCM]]*(Mass_Data[[#This Row],[MDL axle group 4 mass]]/Mass_Data[[#This Row],[Total (1)]]))),"")</f>
        <v>16.5</v>
      </c>
      <c r="AG9" s="22" t="str">
        <f>IFERROR(IF(Mass_Data[[#This Row],[Check (1)]]="YES",Mass_Data[[#This Row],[MDL axle group 5 mass]],Mass_Data[[#This Row],[MDL axle group 5 mass]]-(Mass_Data[[#This Row],[Difference between MDL and GCM]]*(Mass_Data[[#This Row],[MDL axle group 5 mass]]/Mass_Data[[#This Row],[Total (1)]]))),"")</f>
        <v/>
      </c>
      <c r="AH9" s="22" t="str">
        <f>IFERROR(IF(Mass_Data[[#This Row],[Check (1)]]="YES",Mass_Data[[#This Row],[MDL axle group 6 mass]],Mass_Data[[#This Row],[MDL axle group 6 mass]]-(Mass_Data[[#This Row],[Difference between MDL and GCM]]*(Mass_Data[[#This Row],[MDL axle group 6 mass]]/Mass_Data[[#This Row],[Total (1)]]))),"")</f>
        <v/>
      </c>
      <c r="AI9" s="22" t="str">
        <f>IFERROR(IF(Mass_Data[[#This Row],[Check (1)]]="YES",Mass_Data[[#This Row],[MDL axle group 7 mass]],Mass_Data[[#This Row],[MDL axle group 7 mass]]-(Mass_Data[[#This Row],[Difference between MDL and GCM]]*(Mass_Data[[#This Row],[MDL axle group 7 mass]]/Mass_Data[[#This Row],[Total (1)]]))),"")</f>
        <v/>
      </c>
      <c r="AJ9" s="81">
        <f>SUM(Mass_Data[[#This Row],[Corrected axle group 1 mass]:[Corrected axle group 7 mass]])</f>
        <v>56</v>
      </c>
      <c r="AK9">
        <f>Mass_Data[[#This Row],[Total (2)]]-Mass_Data[[#This Row],[GCM (t)]]</f>
        <v>0</v>
      </c>
      <c r="AL9" s="22" t="str">
        <f>IF(Mass_Data[[#This Row],[Difference between MDL and corrected axle masses]]=0,"YES","NO")</f>
        <v>YES</v>
      </c>
    </row>
    <row r="10" spans="3:38" x14ac:dyDescent="0.35">
      <c r="C10" s="10" t="str">
        <f t="shared" si="0"/>
        <v>PBS - 3-axle truck and 4-axle dog trailer (CML): 2</v>
      </c>
      <c r="D10" s="10" t="s">
        <v>219</v>
      </c>
      <c r="E10" s="10" t="s">
        <v>147</v>
      </c>
      <c r="F10" s="10" t="s">
        <v>20</v>
      </c>
      <c r="G10" s="10" t="s">
        <v>4</v>
      </c>
      <c r="H10" t="s">
        <v>59</v>
      </c>
      <c r="I10" s="9">
        <v>57.5</v>
      </c>
      <c r="J10" s="14">
        <v>39.700914574898782</v>
      </c>
      <c r="K10" s="14">
        <f>Mass_Data[[#This Row],[GCM (t)]]-Mass_Data[[#This Row],[Payload (t)]]</f>
        <v>17.799085425101218</v>
      </c>
      <c r="L10" t="s">
        <v>8</v>
      </c>
      <c r="M10" t="s">
        <v>9</v>
      </c>
      <c r="N10" t="s">
        <v>30</v>
      </c>
      <c r="O10" t="s">
        <v>30</v>
      </c>
      <c r="P10">
        <v>0</v>
      </c>
      <c r="Q10">
        <v>0</v>
      </c>
      <c r="R10">
        <v>0</v>
      </c>
      <c r="S10" cm="1">
        <f t="array" ref="S10">_xlfn.XLOOKUP(Mass_Data[[#This Row],[axle group 1]]&amp;Mass_Data[[#This Row],[Mass Scheme]],Axle_Data[Axle Code]&amp;Axle_Data[Mass Scheme],Axle_Data[MDL Maximum Mass (t)],"",0)</f>
        <v>6.5</v>
      </c>
      <c r="T10" cm="1">
        <f t="array" ref="T10">_xlfn.XLOOKUP(Mass_Data[[#This Row],[axle group 2]]&amp;Mass_Data[[#This Row],[Mass Scheme]],Axle_Data[Axle Code]&amp;Axle_Data[Mass Scheme],Axle_Data[MDL Maximum Mass (t)],"",0)</f>
        <v>17</v>
      </c>
      <c r="U10" cm="1">
        <f t="array" ref="U10">_xlfn.XLOOKUP(Mass_Data[[#This Row],[axle group 3]]&amp;Mass_Data[[#This Row],[Mass Scheme]],Axle_Data[Axle Code]&amp;Axle_Data[Mass Scheme],Axle_Data[MDL Maximum Mass (t)],"",0)</f>
        <v>17</v>
      </c>
      <c r="V10" cm="1">
        <f t="array" ref="V10">_xlfn.XLOOKUP(Mass_Data[[#This Row],[axle group 4]]&amp;Mass_Data[[#This Row],[Mass Scheme]],Axle_Data[Axle Code]&amp;Axle_Data[Mass Scheme],Axle_Data[MDL Maximum Mass (t)],"",0)</f>
        <v>17</v>
      </c>
      <c r="W10" t="str" cm="1">
        <f t="array" ref="W10">_xlfn.XLOOKUP(Mass_Data[[#This Row],[axle group 5]]&amp;Mass_Data[[#This Row],[Mass Scheme]],Axle_Data[Axle Code]&amp;Axle_Data[Mass Scheme],Axle_Data[MDL Maximum Mass (t)],"",0)</f>
        <v/>
      </c>
      <c r="X10" t="str" cm="1">
        <f t="array" ref="X10">_xlfn.XLOOKUP(Mass_Data[[#This Row],[axle group 6]]&amp;Mass_Data[[#This Row],[Mass Scheme]],Axle_Data[Axle Code]&amp;Axle_Data[Mass Scheme],Axle_Data[MDL Maximum Mass (t)],"",0)</f>
        <v/>
      </c>
      <c r="Y10" t="str" cm="1">
        <f t="array" ref="Y10">_xlfn.XLOOKUP(Mass_Data[[#This Row],[axle group 7]]&amp;Mass_Data[[#This Row],[Mass Scheme]],Axle_Data[Axle Code]&amp;Axle_Data[Mass Scheme],Axle_Data[MDL Maximum Mass (t)],"",0)</f>
        <v/>
      </c>
      <c r="Z10" s="81">
        <f>SUM(Mass_Data[[#This Row],[MDL axle group 1 mass]:[MDL axle group 7 mass]])</f>
        <v>57.5</v>
      </c>
      <c r="AA10">
        <f>Mass_Data[[#This Row],[Total (1)]]-Mass_Data[[#This Row],[GCM (t)]]</f>
        <v>0</v>
      </c>
      <c r="AB10" t="str">
        <f>IF(Mass_Data[[#This Row],[Difference between MDL and GCM]]=0,"YES","NO")</f>
        <v>YES</v>
      </c>
      <c r="AC10" s="22">
        <f>IFERROR(IF(Mass_Data[[#This Row],[Check (1)]]="YES",Mass_Data[[#This Row],[MDL axle group 1 mass]],Mass_Data[[#This Row],[MDL axle group 1 mass]]-(Mass_Data[[#This Row],[Difference between MDL and GCM]]*(Mass_Data[[#This Row],[MDL axle group 1 mass]]/Mass_Data[[#This Row],[Total (1)]]))),"")</f>
        <v>6.5</v>
      </c>
      <c r="AD10" s="22">
        <f>IFERROR(IF(Mass_Data[[#This Row],[Check (1)]]="YES",Mass_Data[[#This Row],[MDL axle group 2 mass]],Mass_Data[[#This Row],[MDL axle group 2 mass]]-(Mass_Data[[#This Row],[Difference between MDL and GCM]]*(Mass_Data[[#This Row],[MDL axle group 2 mass]]/Mass_Data[[#This Row],[Total (1)]]))),"")</f>
        <v>17</v>
      </c>
      <c r="AE10" s="22">
        <f>IFERROR(IF(Mass_Data[[#This Row],[Check (1)]]="YES",Mass_Data[[#This Row],[MDL axle group 3 mass]],Mass_Data[[#This Row],[MDL axle group 3 mass]]-(Mass_Data[[#This Row],[Difference between MDL and GCM]]*(Mass_Data[[#This Row],[MDL axle group 3 mass]]/Mass_Data[[#This Row],[Total (1)]]))),"")</f>
        <v>17</v>
      </c>
      <c r="AF10" s="22">
        <f>IFERROR(IF(Mass_Data[[#This Row],[Check (1)]]="YES",Mass_Data[[#This Row],[MDL axle group 4 mass]],Mass_Data[[#This Row],[MDL axle group 4 mass]]-(Mass_Data[[#This Row],[Difference between MDL and GCM]]*(Mass_Data[[#This Row],[MDL axle group 4 mass]]/Mass_Data[[#This Row],[Total (1)]]))),"")</f>
        <v>17</v>
      </c>
      <c r="AG10" s="22" t="str">
        <f>IFERROR(IF(Mass_Data[[#This Row],[Check (1)]]="YES",Mass_Data[[#This Row],[MDL axle group 5 mass]],Mass_Data[[#This Row],[MDL axle group 5 mass]]-(Mass_Data[[#This Row],[Difference between MDL and GCM]]*(Mass_Data[[#This Row],[MDL axle group 5 mass]]/Mass_Data[[#This Row],[Total (1)]]))),"")</f>
        <v/>
      </c>
      <c r="AH10" s="22" t="str">
        <f>IFERROR(IF(Mass_Data[[#This Row],[Check (1)]]="YES",Mass_Data[[#This Row],[MDL axle group 6 mass]],Mass_Data[[#This Row],[MDL axle group 6 mass]]-(Mass_Data[[#This Row],[Difference between MDL and GCM]]*(Mass_Data[[#This Row],[MDL axle group 6 mass]]/Mass_Data[[#This Row],[Total (1)]]))),"")</f>
        <v/>
      </c>
      <c r="AI10" s="22" t="str">
        <f>IFERROR(IF(Mass_Data[[#This Row],[Check (1)]]="YES",Mass_Data[[#This Row],[MDL axle group 7 mass]],Mass_Data[[#This Row],[MDL axle group 7 mass]]-(Mass_Data[[#This Row],[Difference between MDL and GCM]]*(Mass_Data[[#This Row],[MDL axle group 7 mass]]/Mass_Data[[#This Row],[Total (1)]]))),"")</f>
        <v/>
      </c>
      <c r="AJ10" s="81">
        <f>SUM(Mass_Data[[#This Row],[Corrected axle group 1 mass]:[Corrected axle group 7 mass]])</f>
        <v>57.5</v>
      </c>
      <c r="AK10">
        <f>Mass_Data[[#This Row],[Total (2)]]-Mass_Data[[#This Row],[GCM (t)]]</f>
        <v>0</v>
      </c>
      <c r="AL10" s="22" t="str">
        <f>IF(Mass_Data[[#This Row],[Difference between MDL and corrected axle masses]]=0,"YES","NO")</f>
        <v>YES</v>
      </c>
    </row>
    <row r="11" spans="3:38" x14ac:dyDescent="0.35">
      <c r="C11" s="10" t="str">
        <f t="shared" si="0"/>
        <v>PBS - 3-axle truck and 4-axle dog trailer (HML): 2</v>
      </c>
      <c r="D11" s="10" t="s">
        <v>219</v>
      </c>
      <c r="E11" s="10" t="s">
        <v>147</v>
      </c>
      <c r="F11" s="10" t="s">
        <v>7</v>
      </c>
      <c r="G11" s="10" t="s">
        <v>4</v>
      </c>
      <c r="H11" t="s">
        <v>59</v>
      </c>
      <c r="I11" s="9">
        <v>57.5</v>
      </c>
      <c r="J11" s="14">
        <v>39.700914574898782</v>
      </c>
      <c r="K11" s="14">
        <f>Mass_Data[[#This Row],[GCM (t)]]-Mass_Data[[#This Row],[Payload (t)]]</f>
        <v>17.799085425101218</v>
      </c>
      <c r="L11" t="s">
        <v>8</v>
      </c>
      <c r="M11" t="s">
        <v>9</v>
      </c>
      <c r="N11" t="s">
        <v>30</v>
      </c>
      <c r="O11" t="s">
        <v>30</v>
      </c>
      <c r="P11">
        <v>0</v>
      </c>
      <c r="Q11">
        <v>0</v>
      </c>
      <c r="R11">
        <v>0</v>
      </c>
      <c r="S11" cm="1">
        <f t="array" ref="S11">_xlfn.XLOOKUP(Mass_Data[[#This Row],[axle group 1]]&amp;Mass_Data[[#This Row],[Mass Scheme]],Axle_Data[Axle Code]&amp;Axle_Data[Mass Scheme],Axle_Data[MDL Maximum Mass (t)],"",0)</f>
        <v>6.5</v>
      </c>
      <c r="T11" cm="1">
        <f t="array" ref="T11">_xlfn.XLOOKUP(Mass_Data[[#This Row],[axle group 2]]&amp;Mass_Data[[#This Row],[Mass Scheme]],Axle_Data[Axle Code]&amp;Axle_Data[Mass Scheme],Axle_Data[MDL Maximum Mass (t)],"",0)</f>
        <v>17</v>
      </c>
      <c r="U11" cm="1">
        <f t="array" ref="U11">_xlfn.XLOOKUP(Mass_Data[[#This Row],[axle group 3]]&amp;Mass_Data[[#This Row],[Mass Scheme]],Axle_Data[Axle Code]&amp;Axle_Data[Mass Scheme],Axle_Data[MDL Maximum Mass (t)],"",0)</f>
        <v>17</v>
      </c>
      <c r="V11" cm="1">
        <f t="array" ref="V11">_xlfn.XLOOKUP(Mass_Data[[#This Row],[axle group 4]]&amp;Mass_Data[[#This Row],[Mass Scheme]],Axle_Data[Axle Code]&amp;Axle_Data[Mass Scheme],Axle_Data[MDL Maximum Mass (t)],"",0)</f>
        <v>17</v>
      </c>
      <c r="W11" t="str" cm="1">
        <f t="array" ref="W11">_xlfn.XLOOKUP(Mass_Data[[#This Row],[axle group 5]]&amp;Mass_Data[[#This Row],[Mass Scheme]],Axle_Data[Axle Code]&amp;Axle_Data[Mass Scheme],Axle_Data[MDL Maximum Mass (t)],"",0)</f>
        <v/>
      </c>
      <c r="X11" t="str" cm="1">
        <f t="array" ref="X11">_xlfn.XLOOKUP(Mass_Data[[#This Row],[axle group 6]]&amp;Mass_Data[[#This Row],[Mass Scheme]],Axle_Data[Axle Code]&amp;Axle_Data[Mass Scheme],Axle_Data[MDL Maximum Mass (t)],"",0)</f>
        <v/>
      </c>
      <c r="Y11" t="str" cm="1">
        <f t="array" ref="Y11">_xlfn.XLOOKUP(Mass_Data[[#This Row],[axle group 7]]&amp;Mass_Data[[#This Row],[Mass Scheme]],Axle_Data[Axle Code]&amp;Axle_Data[Mass Scheme],Axle_Data[MDL Maximum Mass (t)],"",0)</f>
        <v/>
      </c>
      <c r="Z11" s="81">
        <f>SUM(Mass_Data[[#This Row],[MDL axle group 1 mass]:[MDL axle group 7 mass]])</f>
        <v>57.5</v>
      </c>
      <c r="AA11">
        <f>Mass_Data[[#This Row],[Total (1)]]-Mass_Data[[#This Row],[GCM (t)]]</f>
        <v>0</v>
      </c>
      <c r="AB11" t="str">
        <f>IF(Mass_Data[[#This Row],[Difference between MDL and GCM]]=0,"YES","NO")</f>
        <v>YES</v>
      </c>
      <c r="AC11" s="22">
        <f>IFERROR(IF(Mass_Data[[#This Row],[Check (1)]]="YES",Mass_Data[[#This Row],[MDL axle group 1 mass]],Mass_Data[[#This Row],[MDL axle group 1 mass]]-(Mass_Data[[#This Row],[Difference between MDL and GCM]]*(Mass_Data[[#This Row],[MDL axle group 1 mass]]/Mass_Data[[#This Row],[Total (1)]]))),"")</f>
        <v>6.5</v>
      </c>
      <c r="AD11" s="22">
        <f>IFERROR(IF(Mass_Data[[#This Row],[Check (1)]]="YES",Mass_Data[[#This Row],[MDL axle group 2 mass]],Mass_Data[[#This Row],[MDL axle group 2 mass]]-(Mass_Data[[#This Row],[Difference between MDL and GCM]]*(Mass_Data[[#This Row],[MDL axle group 2 mass]]/Mass_Data[[#This Row],[Total (1)]]))),"")</f>
        <v>17</v>
      </c>
      <c r="AE11" s="22">
        <f>IFERROR(IF(Mass_Data[[#This Row],[Check (1)]]="YES",Mass_Data[[#This Row],[MDL axle group 3 mass]],Mass_Data[[#This Row],[MDL axle group 3 mass]]-(Mass_Data[[#This Row],[Difference between MDL and GCM]]*(Mass_Data[[#This Row],[MDL axle group 3 mass]]/Mass_Data[[#This Row],[Total (1)]]))),"")</f>
        <v>17</v>
      </c>
      <c r="AF11" s="22">
        <f>IFERROR(IF(Mass_Data[[#This Row],[Check (1)]]="YES",Mass_Data[[#This Row],[MDL axle group 4 mass]],Mass_Data[[#This Row],[MDL axle group 4 mass]]-(Mass_Data[[#This Row],[Difference between MDL and GCM]]*(Mass_Data[[#This Row],[MDL axle group 4 mass]]/Mass_Data[[#This Row],[Total (1)]]))),"")</f>
        <v>17</v>
      </c>
      <c r="AG11" s="22" t="str">
        <f>IFERROR(IF(Mass_Data[[#This Row],[Check (1)]]="YES",Mass_Data[[#This Row],[MDL axle group 5 mass]],Mass_Data[[#This Row],[MDL axle group 5 mass]]-(Mass_Data[[#This Row],[Difference between MDL and GCM]]*(Mass_Data[[#This Row],[MDL axle group 5 mass]]/Mass_Data[[#This Row],[Total (1)]]))),"")</f>
        <v/>
      </c>
      <c r="AH11" s="22" t="str">
        <f>IFERROR(IF(Mass_Data[[#This Row],[Check (1)]]="YES",Mass_Data[[#This Row],[MDL axle group 6 mass]],Mass_Data[[#This Row],[MDL axle group 6 mass]]-(Mass_Data[[#This Row],[Difference between MDL and GCM]]*(Mass_Data[[#This Row],[MDL axle group 6 mass]]/Mass_Data[[#This Row],[Total (1)]]))),"")</f>
        <v/>
      </c>
      <c r="AI11" s="22" t="str">
        <f>IFERROR(IF(Mass_Data[[#This Row],[Check (1)]]="YES",Mass_Data[[#This Row],[MDL axle group 7 mass]],Mass_Data[[#This Row],[MDL axle group 7 mass]]-(Mass_Data[[#This Row],[Difference between MDL and GCM]]*(Mass_Data[[#This Row],[MDL axle group 7 mass]]/Mass_Data[[#This Row],[Total (1)]]))),"")</f>
        <v/>
      </c>
      <c r="AJ11" s="81">
        <f>SUM(Mass_Data[[#This Row],[Corrected axle group 1 mass]:[Corrected axle group 7 mass]])</f>
        <v>57.5</v>
      </c>
      <c r="AK11">
        <f>Mass_Data[[#This Row],[Total (2)]]-Mass_Data[[#This Row],[GCM (t)]]</f>
        <v>0</v>
      </c>
      <c r="AL11" s="22" t="str">
        <f>IF(Mass_Data[[#This Row],[Difference between MDL and corrected axle masses]]=0,"YES","NO")</f>
        <v>YES</v>
      </c>
    </row>
    <row r="12" spans="3:38" x14ac:dyDescent="0.35">
      <c r="C12" s="10" t="str">
        <f t="shared" si="0"/>
        <v>PBS - 3-axle truck and 5-axle dog trailer (GML): 2</v>
      </c>
      <c r="D12" s="10" t="s">
        <v>217</v>
      </c>
      <c r="E12" s="10" t="s">
        <v>147</v>
      </c>
      <c r="F12" s="10" t="s">
        <v>18</v>
      </c>
      <c r="G12" s="10" t="s">
        <v>4</v>
      </c>
      <c r="H12" t="s">
        <v>60</v>
      </c>
      <c r="I12" s="9">
        <v>59.5</v>
      </c>
      <c r="J12" s="14">
        <v>41.120298653610767</v>
      </c>
      <c r="K12" s="14">
        <f>Mass_Data[[#This Row],[GCM (t)]]-Mass_Data[[#This Row],[Payload (t)]]</f>
        <v>18.379701346389233</v>
      </c>
      <c r="L12" t="s">
        <v>8</v>
      </c>
      <c r="M12" t="s">
        <v>9</v>
      </c>
      <c r="N12" t="s">
        <v>30</v>
      </c>
      <c r="O12" t="s">
        <v>10</v>
      </c>
      <c r="P12">
        <v>0</v>
      </c>
      <c r="Q12">
        <v>0</v>
      </c>
      <c r="R12">
        <v>0</v>
      </c>
      <c r="S12" cm="1">
        <f t="array" ref="S12">_xlfn.XLOOKUP(Mass_Data[[#This Row],[axle group 1]]&amp;Mass_Data[[#This Row],[Mass Scheme]],Axle_Data[Axle Code]&amp;Axle_Data[Mass Scheme],Axle_Data[MDL Maximum Mass (t)],"",0)</f>
        <v>6.5</v>
      </c>
      <c r="T12" cm="1">
        <f t="array" ref="T12">_xlfn.XLOOKUP(Mass_Data[[#This Row],[axle group 2]]&amp;Mass_Data[[#This Row],[Mass Scheme]],Axle_Data[Axle Code]&amp;Axle_Data[Mass Scheme],Axle_Data[MDL Maximum Mass (t)],"",0)</f>
        <v>16.5</v>
      </c>
      <c r="U12" cm="1">
        <f t="array" ref="U12">_xlfn.XLOOKUP(Mass_Data[[#This Row],[axle group 3]]&amp;Mass_Data[[#This Row],[Mass Scheme]],Axle_Data[Axle Code]&amp;Axle_Data[Mass Scheme],Axle_Data[MDL Maximum Mass (t)],"",0)</f>
        <v>16.5</v>
      </c>
      <c r="V12" cm="1">
        <f t="array" ref="V12">_xlfn.XLOOKUP(Mass_Data[[#This Row],[axle group 4]]&amp;Mass_Data[[#This Row],[Mass Scheme]],Axle_Data[Axle Code]&amp;Axle_Data[Mass Scheme],Axle_Data[MDL Maximum Mass (t)],"",0)</f>
        <v>20</v>
      </c>
      <c r="W12" t="str" cm="1">
        <f t="array" ref="W12">_xlfn.XLOOKUP(Mass_Data[[#This Row],[axle group 5]]&amp;Mass_Data[[#This Row],[Mass Scheme]],Axle_Data[Axle Code]&amp;Axle_Data[Mass Scheme],Axle_Data[MDL Maximum Mass (t)],"",0)</f>
        <v/>
      </c>
      <c r="X12" t="str" cm="1">
        <f t="array" ref="X12">_xlfn.XLOOKUP(Mass_Data[[#This Row],[axle group 6]]&amp;Mass_Data[[#This Row],[Mass Scheme]],Axle_Data[Axle Code]&amp;Axle_Data[Mass Scheme],Axle_Data[MDL Maximum Mass (t)],"",0)</f>
        <v/>
      </c>
      <c r="Y12" t="str" cm="1">
        <f t="array" ref="Y12">_xlfn.XLOOKUP(Mass_Data[[#This Row],[axle group 7]]&amp;Mass_Data[[#This Row],[Mass Scheme]],Axle_Data[Axle Code]&amp;Axle_Data[Mass Scheme],Axle_Data[MDL Maximum Mass (t)],"",0)</f>
        <v/>
      </c>
      <c r="Z12" s="81">
        <f>SUM(Mass_Data[[#This Row],[MDL axle group 1 mass]:[MDL axle group 7 mass]])</f>
        <v>59.5</v>
      </c>
      <c r="AA12">
        <f>Mass_Data[[#This Row],[Total (1)]]-Mass_Data[[#This Row],[GCM (t)]]</f>
        <v>0</v>
      </c>
      <c r="AB12" t="str">
        <f>IF(Mass_Data[[#This Row],[Difference between MDL and GCM]]=0,"YES","NO")</f>
        <v>YES</v>
      </c>
      <c r="AC12" s="22">
        <f>IFERROR(IF(Mass_Data[[#This Row],[Check (1)]]="YES",Mass_Data[[#This Row],[MDL axle group 1 mass]],Mass_Data[[#This Row],[MDL axle group 1 mass]]-(Mass_Data[[#This Row],[Difference between MDL and GCM]]*(Mass_Data[[#This Row],[MDL axle group 1 mass]]/Mass_Data[[#This Row],[Total (1)]]))),"")</f>
        <v>6.5</v>
      </c>
      <c r="AD12" s="22">
        <f>IFERROR(IF(Mass_Data[[#This Row],[Check (1)]]="YES",Mass_Data[[#This Row],[MDL axle group 2 mass]],Mass_Data[[#This Row],[MDL axle group 2 mass]]-(Mass_Data[[#This Row],[Difference between MDL and GCM]]*(Mass_Data[[#This Row],[MDL axle group 2 mass]]/Mass_Data[[#This Row],[Total (1)]]))),"")</f>
        <v>16.5</v>
      </c>
      <c r="AE12" s="22">
        <f>IFERROR(IF(Mass_Data[[#This Row],[Check (1)]]="YES",Mass_Data[[#This Row],[MDL axle group 3 mass]],Mass_Data[[#This Row],[MDL axle group 3 mass]]-(Mass_Data[[#This Row],[Difference between MDL and GCM]]*(Mass_Data[[#This Row],[MDL axle group 3 mass]]/Mass_Data[[#This Row],[Total (1)]]))),"")</f>
        <v>16.5</v>
      </c>
      <c r="AF12" s="22">
        <f>IFERROR(IF(Mass_Data[[#This Row],[Check (1)]]="YES",Mass_Data[[#This Row],[MDL axle group 4 mass]],Mass_Data[[#This Row],[MDL axle group 4 mass]]-(Mass_Data[[#This Row],[Difference between MDL and GCM]]*(Mass_Data[[#This Row],[MDL axle group 4 mass]]/Mass_Data[[#This Row],[Total (1)]]))),"")</f>
        <v>20</v>
      </c>
      <c r="AG12" s="22" t="str">
        <f>IFERROR(IF(Mass_Data[[#This Row],[Check (1)]]="YES",Mass_Data[[#This Row],[MDL axle group 5 mass]],Mass_Data[[#This Row],[MDL axle group 5 mass]]-(Mass_Data[[#This Row],[Difference between MDL and GCM]]*(Mass_Data[[#This Row],[MDL axle group 5 mass]]/Mass_Data[[#This Row],[Total (1)]]))),"")</f>
        <v/>
      </c>
      <c r="AH12" s="22" t="str">
        <f>IFERROR(IF(Mass_Data[[#This Row],[Check (1)]]="YES",Mass_Data[[#This Row],[MDL axle group 6 mass]],Mass_Data[[#This Row],[MDL axle group 6 mass]]-(Mass_Data[[#This Row],[Difference between MDL and GCM]]*(Mass_Data[[#This Row],[MDL axle group 6 mass]]/Mass_Data[[#This Row],[Total (1)]]))),"")</f>
        <v/>
      </c>
      <c r="AI12" s="22" t="str">
        <f>IFERROR(IF(Mass_Data[[#This Row],[Check (1)]]="YES",Mass_Data[[#This Row],[MDL axle group 7 mass]],Mass_Data[[#This Row],[MDL axle group 7 mass]]-(Mass_Data[[#This Row],[Difference between MDL and GCM]]*(Mass_Data[[#This Row],[MDL axle group 7 mass]]/Mass_Data[[#This Row],[Total (1)]]))),"")</f>
        <v/>
      </c>
      <c r="AJ12" s="81">
        <f>SUM(Mass_Data[[#This Row],[Corrected axle group 1 mass]:[Corrected axle group 7 mass]])</f>
        <v>59.5</v>
      </c>
      <c r="AK12">
        <f>Mass_Data[[#This Row],[Total (2)]]-Mass_Data[[#This Row],[GCM (t)]]</f>
        <v>0</v>
      </c>
      <c r="AL12" s="22" t="str">
        <f>IF(Mass_Data[[#This Row],[Difference between MDL and corrected axle masses]]=0,"YES","NO")</f>
        <v>YES</v>
      </c>
    </row>
    <row r="13" spans="3:38" x14ac:dyDescent="0.35">
      <c r="C13" s="10" t="str">
        <f t="shared" si="0"/>
        <v>PBS - 3-axle truck and 5-axle dog trailer (CML): 2</v>
      </c>
      <c r="D13" s="10" t="s">
        <v>217</v>
      </c>
      <c r="E13" s="10" t="s">
        <v>147</v>
      </c>
      <c r="F13" s="10" t="s">
        <v>20</v>
      </c>
      <c r="G13" s="10" t="s">
        <v>4</v>
      </c>
      <c r="H13" t="s">
        <v>60</v>
      </c>
      <c r="I13" s="9">
        <v>61.5</v>
      </c>
      <c r="J13" s="14">
        <v>43.120298653610767</v>
      </c>
      <c r="K13" s="14">
        <f>Mass_Data[[#This Row],[GCM (t)]]-Mass_Data[[#This Row],[Payload (t)]]</f>
        <v>18.379701346389233</v>
      </c>
      <c r="L13" t="s">
        <v>8</v>
      </c>
      <c r="M13" t="s">
        <v>9</v>
      </c>
      <c r="N13" t="s">
        <v>30</v>
      </c>
      <c r="O13" t="s">
        <v>10</v>
      </c>
      <c r="P13">
        <v>0</v>
      </c>
      <c r="Q13">
        <v>0</v>
      </c>
      <c r="R13">
        <v>0</v>
      </c>
      <c r="S13" cm="1">
        <f t="array" ref="S13">_xlfn.XLOOKUP(Mass_Data[[#This Row],[axle group 1]]&amp;Mass_Data[[#This Row],[Mass Scheme]],Axle_Data[Axle Code]&amp;Axle_Data[Mass Scheme],Axle_Data[MDL Maximum Mass (t)],"",0)</f>
        <v>6.5</v>
      </c>
      <c r="T13" cm="1">
        <f t="array" ref="T13">_xlfn.XLOOKUP(Mass_Data[[#This Row],[axle group 2]]&amp;Mass_Data[[#This Row],[Mass Scheme]],Axle_Data[Axle Code]&amp;Axle_Data[Mass Scheme],Axle_Data[MDL Maximum Mass (t)],"",0)</f>
        <v>17</v>
      </c>
      <c r="U13" cm="1">
        <f t="array" ref="U13">_xlfn.XLOOKUP(Mass_Data[[#This Row],[axle group 3]]&amp;Mass_Data[[#This Row],[Mass Scheme]],Axle_Data[Axle Code]&amp;Axle_Data[Mass Scheme],Axle_Data[MDL Maximum Mass (t)],"",0)</f>
        <v>17</v>
      </c>
      <c r="V13" cm="1">
        <f t="array" ref="V13">_xlfn.XLOOKUP(Mass_Data[[#This Row],[axle group 4]]&amp;Mass_Data[[#This Row],[Mass Scheme]],Axle_Data[Axle Code]&amp;Axle_Data[Mass Scheme],Axle_Data[MDL Maximum Mass (t)],"",0)</f>
        <v>21</v>
      </c>
      <c r="W13" t="str" cm="1">
        <f t="array" ref="W13">_xlfn.XLOOKUP(Mass_Data[[#This Row],[axle group 5]]&amp;Mass_Data[[#This Row],[Mass Scheme]],Axle_Data[Axle Code]&amp;Axle_Data[Mass Scheme],Axle_Data[MDL Maximum Mass (t)],"",0)</f>
        <v/>
      </c>
      <c r="X13" t="str" cm="1">
        <f t="array" ref="X13">_xlfn.XLOOKUP(Mass_Data[[#This Row],[axle group 6]]&amp;Mass_Data[[#This Row],[Mass Scheme]],Axle_Data[Axle Code]&amp;Axle_Data[Mass Scheme],Axle_Data[MDL Maximum Mass (t)],"",0)</f>
        <v/>
      </c>
      <c r="Y13" t="str" cm="1">
        <f t="array" ref="Y13">_xlfn.XLOOKUP(Mass_Data[[#This Row],[axle group 7]]&amp;Mass_Data[[#This Row],[Mass Scheme]],Axle_Data[Axle Code]&amp;Axle_Data[Mass Scheme],Axle_Data[MDL Maximum Mass (t)],"",0)</f>
        <v/>
      </c>
      <c r="Z13" s="81">
        <f>SUM(Mass_Data[[#This Row],[MDL axle group 1 mass]:[MDL axle group 7 mass]])</f>
        <v>61.5</v>
      </c>
      <c r="AA13">
        <f>Mass_Data[[#This Row],[Total (1)]]-Mass_Data[[#This Row],[GCM (t)]]</f>
        <v>0</v>
      </c>
      <c r="AB13" t="str">
        <f>IF(Mass_Data[[#This Row],[Difference between MDL and GCM]]=0,"YES","NO")</f>
        <v>YES</v>
      </c>
      <c r="AC13" s="22">
        <f>IFERROR(IF(Mass_Data[[#This Row],[Check (1)]]="YES",Mass_Data[[#This Row],[MDL axle group 1 mass]],Mass_Data[[#This Row],[MDL axle group 1 mass]]-(Mass_Data[[#This Row],[Difference between MDL and GCM]]*(Mass_Data[[#This Row],[MDL axle group 1 mass]]/Mass_Data[[#This Row],[Total (1)]]))),"")</f>
        <v>6.5</v>
      </c>
      <c r="AD13" s="22">
        <f>IFERROR(IF(Mass_Data[[#This Row],[Check (1)]]="YES",Mass_Data[[#This Row],[MDL axle group 2 mass]],Mass_Data[[#This Row],[MDL axle group 2 mass]]-(Mass_Data[[#This Row],[Difference between MDL and GCM]]*(Mass_Data[[#This Row],[MDL axle group 2 mass]]/Mass_Data[[#This Row],[Total (1)]]))),"")</f>
        <v>17</v>
      </c>
      <c r="AE13" s="22">
        <f>IFERROR(IF(Mass_Data[[#This Row],[Check (1)]]="YES",Mass_Data[[#This Row],[MDL axle group 3 mass]],Mass_Data[[#This Row],[MDL axle group 3 mass]]-(Mass_Data[[#This Row],[Difference between MDL and GCM]]*(Mass_Data[[#This Row],[MDL axle group 3 mass]]/Mass_Data[[#This Row],[Total (1)]]))),"")</f>
        <v>17</v>
      </c>
      <c r="AF13" s="22">
        <f>IFERROR(IF(Mass_Data[[#This Row],[Check (1)]]="YES",Mass_Data[[#This Row],[MDL axle group 4 mass]],Mass_Data[[#This Row],[MDL axle group 4 mass]]-(Mass_Data[[#This Row],[Difference between MDL and GCM]]*(Mass_Data[[#This Row],[MDL axle group 4 mass]]/Mass_Data[[#This Row],[Total (1)]]))),"")</f>
        <v>21</v>
      </c>
      <c r="AG13" s="22" t="str">
        <f>IFERROR(IF(Mass_Data[[#This Row],[Check (1)]]="YES",Mass_Data[[#This Row],[MDL axle group 5 mass]],Mass_Data[[#This Row],[MDL axle group 5 mass]]-(Mass_Data[[#This Row],[Difference between MDL and GCM]]*(Mass_Data[[#This Row],[MDL axle group 5 mass]]/Mass_Data[[#This Row],[Total (1)]]))),"")</f>
        <v/>
      </c>
      <c r="AH13" s="22" t="str">
        <f>IFERROR(IF(Mass_Data[[#This Row],[Check (1)]]="YES",Mass_Data[[#This Row],[MDL axle group 6 mass]],Mass_Data[[#This Row],[MDL axle group 6 mass]]-(Mass_Data[[#This Row],[Difference between MDL and GCM]]*(Mass_Data[[#This Row],[MDL axle group 6 mass]]/Mass_Data[[#This Row],[Total (1)]]))),"")</f>
        <v/>
      </c>
      <c r="AI13" s="22" t="str">
        <f>IFERROR(IF(Mass_Data[[#This Row],[Check (1)]]="YES",Mass_Data[[#This Row],[MDL axle group 7 mass]],Mass_Data[[#This Row],[MDL axle group 7 mass]]-(Mass_Data[[#This Row],[Difference between MDL and GCM]]*(Mass_Data[[#This Row],[MDL axle group 7 mass]]/Mass_Data[[#This Row],[Total (1)]]))),"")</f>
        <v/>
      </c>
      <c r="AJ13" s="81">
        <f>SUM(Mass_Data[[#This Row],[Corrected axle group 1 mass]:[Corrected axle group 7 mass]])</f>
        <v>61.5</v>
      </c>
      <c r="AK13">
        <f>Mass_Data[[#This Row],[Total (2)]]-Mass_Data[[#This Row],[GCM (t)]]</f>
        <v>0</v>
      </c>
      <c r="AL13" s="22" t="str">
        <f>IF(Mass_Data[[#This Row],[Difference between MDL and corrected axle masses]]=0,"YES","NO")</f>
        <v>YES</v>
      </c>
    </row>
    <row r="14" spans="3:38" x14ac:dyDescent="0.35">
      <c r="C14" s="10" t="str">
        <f t="shared" si="0"/>
        <v>PBS - 3-axle truck and 5-axle dog trailer (HML): 2</v>
      </c>
      <c r="D14" s="10" t="s">
        <v>217</v>
      </c>
      <c r="E14" s="10" t="s">
        <v>147</v>
      </c>
      <c r="F14" s="10" t="s">
        <v>7</v>
      </c>
      <c r="G14" s="10" t="s">
        <v>4</v>
      </c>
      <c r="H14" t="s">
        <v>60</v>
      </c>
      <c r="I14" s="9">
        <v>63</v>
      </c>
      <c r="J14" s="14">
        <v>44.620298653610767</v>
      </c>
      <c r="K14" s="14">
        <f>Mass_Data[[#This Row],[GCM (t)]]-Mass_Data[[#This Row],[Payload (t)]]</f>
        <v>18.379701346389233</v>
      </c>
      <c r="L14" t="s">
        <v>8</v>
      </c>
      <c r="M14" t="s">
        <v>9</v>
      </c>
      <c r="N14" t="s">
        <v>30</v>
      </c>
      <c r="O14" t="s">
        <v>10</v>
      </c>
      <c r="P14">
        <v>0</v>
      </c>
      <c r="Q14">
        <v>0</v>
      </c>
      <c r="R14">
        <v>0</v>
      </c>
      <c r="S14" cm="1">
        <f t="array" ref="S14">_xlfn.XLOOKUP(Mass_Data[[#This Row],[axle group 1]]&amp;Mass_Data[[#This Row],[Mass Scheme]],Axle_Data[Axle Code]&amp;Axle_Data[Mass Scheme],Axle_Data[MDL Maximum Mass (t)],"",0)</f>
        <v>6.5</v>
      </c>
      <c r="T14" cm="1">
        <f t="array" ref="T14">_xlfn.XLOOKUP(Mass_Data[[#This Row],[axle group 2]]&amp;Mass_Data[[#This Row],[Mass Scheme]],Axle_Data[Axle Code]&amp;Axle_Data[Mass Scheme],Axle_Data[MDL Maximum Mass (t)],"",0)</f>
        <v>17</v>
      </c>
      <c r="U14" cm="1">
        <f t="array" ref="U14">_xlfn.XLOOKUP(Mass_Data[[#This Row],[axle group 3]]&amp;Mass_Data[[#This Row],[Mass Scheme]],Axle_Data[Axle Code]&amp;Axle_Data[Mass Scheme],Axle_Data[MDL Maximum Mass (t)],"",0)</f>
        <v>17</v>
      </c>
      <c r="V14" cm="1">
        <f t="array" ref="V14">_xlfn.XLOOKUP(Mass_Data[[#This Row],[axle group 4]]&amp;Mass_Data[[#This Row],[Mass Scheme]],Axle_Data[Axle Code]&amp;Axle_Data[Mass Scheme],Axle_Data[MDL Maximum Mass (t)],"",0)</f>
        <v>22.5</v>
      </c>
      <c r="W14" t="str" cm="1">
        <f t="array" ref="W14">_xlfn.XLOOKUP(Mass_Data[[#This Row],[axle group 5]]&amp;Mass_Data[[#This Row],[Mass Scheme]],Axle_Data[Axle Code]&amp;Axle_Data[Mass Scheme],Axle_Data[MDL Maximum Mass (t)],"",0)</f>
        <v/>
      </c>
      <c r="X14" t="str" cm="1">
        <f t="array" ref="X14">_xlfn.XLOOKUP(Mass_Data[[#This Row],[axle group 6]]&amp;Mass_Data[[#This Row],[Mass Scheme]],Axle_Data[Axle Code]&amp;Axle_Data[Mass Scheme],Axle_Data[MDL Maximum Mass (t)],"",0)</f>
        <v/>
      </c>
      <c r="Y14" t="str" cm="1">
        <f t="array" ref="Y14">_xlfn.XLOOKUP(Mass_Data[[#This Row],[axle group 7]]&amp;Mass_Data[[#This Row],[Mass Scheme]],Axle_Data[Axle Code]&amp;Axle_Data[Mass Scheme],Axle_Data[MDL Maximum Mass (t)],"",0)</f>
        <v/>
      </c>
      <c r="Z14" s="81">
        <f>SUM(Mass_Data[[#This Row],[MDL axle group 1 mass]:[MDL axle group 7 mass]])</f>
        <v>63</v>
      </c>
      <c r="AA14">
        <f>Mass_Data[[#This Row],[Total (1)]]-Mass_Data[[#This Row],[GCM (t)]]</f>
        <v>0</v>
      </c>
      <c r="AB14" t="str">
        <f>IF(Mass_Data[[#This Row],[Difference between MDL and GCM]]=0,"YES","NO")</f>
        <v>YES</v>
      </c>
      <c r="AC14" s="22">
        <f>IFERROR(IF(Mass_Data[[#This Row],[Check (1)]]="YES",Mass_Data[[#This Row],[MDL axle group 1 mass]],Mass_Data[[#This Row],[MDL axle group 1 mass]]-(Mass_Data[[#This Row],[Difference between MDL and GCM]]*(Mass_Data[[#This Row],[MDL axle group 1 mass]]/Mass_Data[[#This Row],[Total (1)]]))),"")</f>
        <v>6.5</v>
      </c>
      <c r="AD14" s="22">
        <f>IFERROR(IF(Mass_Data[[#This Row],[Check (1)]]="YES",Mass_Data[[#This Row],[MDL axle group 2 mass]],Mass_Data[[#This Row],[MDL axle group 2 mass]]-(Mass_Data[[#This Row],[Difference between MDL and GCM]]*(Mass_Data[[#This Row],[MDL axle group 2 mass]]/Mass_Data[[#This Row],[Total (1)]]))),"")</f>
        <v>17</v>
      </c>
      <c r="AE14" s="22">
        <f>IFERROR(IF(Mass_Data[[#This Row],[Check (1)]]="YES",Mass_Data[[#This Row],[MDL axle group 3 mass]],Mass_Data[[#This Row],[MDL axle group 3 mass]]-(Mass_Data[[#This Row],[Difference between MDL and GCM]]*(Mass_Data[[#This Row],[MDL axle group 3 mass]]/Mass_Data[[#This Row],[Total (1)]]))),"")</f>
        <v>17</v>
      </c>
      <c r="AF14" s="22">
        <f>IFERROR(IF(Mass_Data[[#This Row],[Check (1)]]="YES",Mass_Data[[#This Row],[MDL axle group 4 mass]],Mass_Data[[#This Row],[MDL axle group 4 mass]]-(Mass_Data[[#This Row],[Difference between MDL and GCM]]*(Mass_Data[[#This Row],[MDL axle group 4 mass]]/Mass_Data[[#This Row],[Total (1)]]))),"")</f>
        <v>22.5</v>
      </c>
      <c r="AG14" s="22" t="str">
        <f>IFERROR(IF(Mass_Data[[#This Row],[Check (1)]]="YES",Mass_Data[[#This Row],[MDL axle group 5 mass]],Mass_Data[[#This Row],[MDL axle group 5 mass]]-(Mass_Data[[#This Row],[Difference between MDL and GCM]]*(Mass_Data[[#This Row],[MDL axle group 5 mass]]/Mass_Data[[#This Row],[Total (1)]]))),"")</f>
        <v/>
      </c>
      <c r="AH14" s="22" t="str">
        <f>IFERROR(IF(Mass_Data[[#This Row],[Check (1)]]="YES",Mass_Data[[#This Row],[MDL axle group 6 mass]],Mass_Data[[#This Row],[MDL axle group 6 mass]]-(Mass_Data[[#This Row],[Difference between MDL and GCM]]*(Mass_Data[[#This Row],[MDL axle group 6 mass]]/Mass_Data[[#This Row],[Total (1)]]))),"")</f>
        <v/>
      </c>
      <c r="AI14" s="22" t="str">
        <f>IFERROR(IF(Mass_Data[[#This Row],[Check (1)]]="YES",Mass_Data[[#This Row],[MDL axle group 7 mass]],Mass_Data[[#This Row],[MDL axle group 7 mass]]-(Mass_Data[[#This Row],[Difference between MDL and GCM]]*(Mass_Data[[#This Row],[MDL axle group 7 mass]]/Mass_Data[[#This Row],[Total (1)]]))),"")</f>
        <v/>
      </c>
      <c r="AJ14" s="81">
        <f>SUM(Mass_Data[[#This Row],[Corrected axle group 1 mass]:[Corrected axle group 7 mass]])</f>
        <v>63</v>
      </c>
      <c r="AK14">
        <f>Mass_Data[[#This Row],[Total (2)]]-Mass_Data[[#This Row],[GCM (t)]]</f>
        <v>0</v>
      </c>
      <c r="AL14" s="22" t="str">
        <f>IF(Mass_Data[[#This Row],[Difference between MDL and corrected axle masses]]=0,"YES","NO")</f>
        <v>YES</v>
      </c>
    </row>
    <row r="15" spans="3:38" x14ac:dyDescent="0.35">
      <c r="C15" s="10" t="str">
        <f t="shared" si="0"/>
        <v>PBS - 3-axle truck and 6-axle dog trailer (GML): 2</v>
      </c>
      <c r="D15" s="10" t="s">
        <v>215</v>
      </c>
      <c r="E15" s="10" t="s">
        <v>147</v>
      </c>
      <c r="F15" s="10" t="s">
        <v>18</v>
      </c>
      <c r="G15" s="10" t="s">
        <v>4</v>
      </c>
      <c r="H15" t="s">
        <v>63</v>
      </c>
      <c r="I15" s="9">
        <v>63</v>
      </c>
      <c r="J15" s="14">
        <v>43.036550239234451</v>
      </c>
      <c r="K15" s="14">
        <f>Mass_Data[[#This Row],[GCM (t)]]-Mass_Data[[#This Row],[Payload (t)]]</f>
        <v>19.963449760765549</v>
      </c>
      <c r="L15" t="s">
        <v>8</v>
      </c>
      <c r="M15" t="s">
        <v>9</v>
      </c>
      <c r="N15" t="s">
        <v>10</v>
      </c>
      <c r="O15" t="s">
        <v>10</v>
      </c>
      <c r="P15">
        <v>0</v>
      </c>
      <c r="Q15">
        <v>0</v>
      </c>
      <c r="R15">
        <v>0</v>
      </c>
      <c r="S15" cm="1">
        <f t="array" ref="S15">_xlfn.XLOOKUP(Mass_Data[[#This Row],[axle group 1]]&amp;Mass_Data[[#This Row],[Mass Scheme]],Axle_Data[Axle Code]&amp;Axle_Data[Mass Scheme],Axle_Data[MDL Maximum Mass (t)],"",0)</f>
        <v>6.5</v>
      </c>
      <c r="T15" cm="1">
        <f t="array" ref="T15">_xlfn.XLOOKUP(Mass_Data[[#This Row],[axle group 2]]&amp;Mass_Data[[#This Row],[Mass Scheme]],Axle_Data[Axle Code]&amp;Axle_Data[Mass Scheme],Axle_Data[MDL Maximum Mass (t)],"",0)</f>
        <v>16.5</v>
      </c>
      <c r="U15" cm="1">
        <f t="array" ref="U15">_xlfn.XLOOKUP(Mass_Data[[#This Row],[axle group 3]]&amp;Mass_Data[[#This Row],[Mass Scheme]],Axle_Data[Axle Code]&amp;Axle_Data[Mass Scheme],Axle_Data[MDL Maximum Mass (t)],"",0)</f>
        <v>20</v>
      </c>
      <c r="V15" cm="1">
        <f t="array" ref="V15">_xlfn.XLOOKUP(Mass_Data[[#This Row],[axle group 4]]&amp;Mass_Data[[#This Row],[Mass Scheme]],Axle_Data[Axle Code]&amp;Axle_Data[Mass Scheme],Axle_Data[MDL Maximum Mass (t)],"",0)</f>
        <v>20</v>
      </c>
      <c r="W15" t="str" cm="1">
        <f t="array" ref="W15">_xlfn.XLOOKUP(Mass_Data[[#This Row],[axle group 5]]&amp;Mass_Data[[#This Row],[Mass Scheme]],Axle_Data[Axle Code]&amp;Axle_Data[Mass Scheme],Axle_Data[MDL Maximum Mass (t)],"",0)</f>
        <v/>
      </c>
      <c r="X15" t="str" cm="1">
        <f t="array" ref="X15">_xlfn.XLOOKUP(Mass_Data[[#This Row],[axle group 6]]&amp;Mass_Data[[#This Row],[Mass Scheme]],Axle_Data[Axle Code]&amp;Axle_Data[Mass Scheme],Axle_Data[MDL Maximum Mass (t)],"",0)</f>
        <v/>
      </c>
      <c r="Y15" t="str" cm="1">
        <f t="array" ref="Y15">_xlfn.XLOOKUP(Mass_Data[[#This Row],[axle group 7]]&amp;Mass_Data[[#This Row],[Mass Scheme]],Axle_Data[Axle Code]&amp;Axle_Data[Mass Scheme],Axle_Data[MDL Maximum Mass (t)],"",0)</f>
        <v/>
      </c>
      <c r="Z15" s="81">
        <f>SUM(Mass_Data[[#This Row],[MDL axle group 1 mass]:[MDL axle group 7 mass]])</f>
        <v>63</v>
      </c>
      <c r="AA15">
        <f>Mass_Data[[#This Row],[Total (1)]]-Mass_Data[[#This Row],[GCM (t)]]</f>
        <v>0</v>
      </c>
      <c r="AB15" t="str">
        <f>IF(Mass_Data[[#This Row],[Difference between MDL and GCM]]=0,"YES","NO")</f>
        <v>YES</v>
      </c>
      <c r="AC15" s="22">
        <f>IFERROR(IF(Mass_Data[[#This Row],[Check (1)]]="YES",Mass_Data[[#This Row],[MDL axle group 1 mass]],Mass_Data[[#This Row],[MDL axle group 1 mass]]-(Mass_Data[[#This Row],[Difference between MDL and GCM]]*(Mass_Data[[#This Row],[MDL axle group 1 mass]]/Mass_Data[[#This Row],[Total (1)]]))),"")</f>
        <v>6.5</v>
      </c>
      <c r="AD15" s="22">
        <f>IFERROR(IF(Mass_Data[[#This Row],[Check (1)]]="YES",Mass_Data[[#This Row],[MDL axle group 2 mass]],Mass_Data[[#This Row],[MDL axle group 2 mass]]-(Mass_Data[[#This Row],[Difference between MDL and GCM]]*(Mass_Data[[#This Row],[MDL axle group 2 mass]]/Mass_Data[[#This Row],[Total (1)]]))),"")</f>
        <v>16.5</v>
      </c>
      <c r="AE15" s="22">
        <f>IFERROR(IF(Mass_Data[[#This Row],[Check (1)]]="YES",Mass_Data[[#This Row],[MDL axle group 3 mass]],Mass_Data[[#This Row],[MDL axle group 3 mass]]-(Mass_Data[[#This Row],[Difference between MDL and GCM]]*(Mass_Data[[#This Row],[MDL axle group 3 mass]]/Mass_Data[[#This Row],[Total (1)]]))),"")</f>
        <v>20</v>
      </c>
      <c r="AF15" s="22">
        <f>IFERROR(IF(Mass_Data[[#This Row],[Check (1)]]="YES",Mass_Data[[#This Row],[MDL axle group 4 mass]],Mass_Data[[#This Row],[MDL axle group 4 mass]]-(Mass_Data[[#This Row],[Difference between MDL and GCM]]*(Mass_Data[[#This Row],[MDL axle group 4 mass]]/Mass_Data[[#This Row],[Total (1)]]))),"")</f>
        <v>20</v>
      </c>
      <c r="AG15" s="22" t="str">
        <f>IFERROR(IF(Mass_Data[[#This Row],[Check (1)]]="YES",Mass_Data[[#This Row],[MDL axle group 5 mass]],Mass_Data[[#This Row],[MDL axle group 5 mass]]-(Mass_Data[[#This Row],[Difference between MDL and GCM]]*(Mass_Data[[#This Row],[MDL axle group 5 mass]]/Mass_Data[[#This Row],[Total (1)]]))),"")</f>
        <v/>
      </c>
      <c r="AH15" s="22" t="str">
        <f>IFERROR(IF(Mass_Data[[#This Row],[Check (1)]]="YES",Mass_Data[[#This Row],[MDL axle group 6 mass]],Mass_Data[[#This Row],[MDL axle group 6 mass]]-(Mass_Data[[#This Row],[Difference between MDL and GCM]]*(Mass_Data[[#This Row],[MDL axle group 6 mass]]/Mass_Data[[#This Row],[Total (1)]]))),"")</f>
        <v/>
      </c>
      <c r="AI15" s="22" t="str">
        <f>IFERROR(IF(Mass_Data[[#This Row],[Check (1)]]="YES",Mass_Data[[#This Row],[MDL axle group 7 mass]],Mass_Data[[#This Row],[MDL axle group 7 mass]]-(Mass_Data[[#This Row],[Difference between MDL and GCM]]*(Mass_Data[[#This Row],[MDL axle group 7 mass]]/Mass_Data[[#This Row],[Total (1)]]))),"")</f>
        <v/>
      </c>
      <c r="AJ15" s="81">
        <f>SUM(Mass_Data[[#This Row],[Corrected axle group 1 mass]:[Corrected axle group 7 mass]])</f>
        <v>63</v>
      </c>
      <c r="AK15">
        <f>Mass_Data[[#This Row],[Total (2)]]-Mass_Data[[#This Row],[GCM (t)]]</f>
        <v>0</v>
      </c>
      <c r="AL15" s="22" t="str">
        <f>IF(Mass_Data[[#This Row],[Difference between MDL and corrected axle masses]]=0,"YES","NO")</f>
        <v>YES</v>
      </c>
    </row>
    <row r="16" spans="3:38" x14ac:dyDescent="0.35">
      <c r="C16" s="10" t="str">
        <f t="shared" si="0"/>
        <v>PBS - 3-axle truck and 6-axle dog trailer (CML): 2</v>
      </c>
      <c r="D16" s="10" t="s">
        <v>215</v>
      </c>
      <c r="E16" s="10" t="s">
        <v>147</v>
      </c>
      <c r="F16" s="10" t="s">
        <v>20</v>
      </c>
      <c r="G16" s="10" t="s">
        <v>4</v>
      </c>
      <c r="H16" t="s">
        <v>63</v>
      </c>
      <c r="I16" s="9">
        <v>65</v>
      </c>
      <c r="J16" s="14">
        <v>45.036550239234451</v>
      </c>
      <c r="K16" s="14">
        <f>Mass_Data[[#This Row],[GCM (t)]]-Mass_Data[[#This Row],[Payload (t)]]</f>
        <v>19.963449760765549</v>
      </c>
      <c r="L16" t="s">
        <v>8</v>
      </c>
      <c r="M16" t="s">
        <v>9</v>
      </c>
      <c r="N16" t="s">
        <v>10</v>
      </c>
      <c r="O16" t="s">
        <v>10</v>
      </c>
      <c r="P16">
        <v>0</v>
      </c>
      <c r="Q16">
        <v>0</v>
      </c>
      <c r="R16">
        <v>0</v>
      </c>
      <c r="S16" cm="1">
        <f t="array" ref="S16">_xlfn.XLOOKUP(Mass_Data[[#This Row],[axle group 1]]&amp;Mass_Data[[#This Row],[Mass Scheme]],Axle_Data[Axle Code]&amp;Axle_Data[Mass Scheme],Axle_Data[MDL Maximum Mass (t)],"",0)</f>
        <v>6.5</v>
      </c>
      <c r="T16" cm="1">
        <f t="array" ref="T16">_xlfn.XLOOKUP(Mass_Data[[#This Row],[axle group 2]]&amp;Mass_Data[[#This Row],[Mass Scheme]],Axle_Data[Axle Code]&amp;Axle_Data[Mass Scheme],Axle_Data[MDL Maximum Mass (t)],"",0)</f>
        <v>17</v>
      </c>
      <c r="U16" cm="1">
        <f t="array" ref="U16">_xlfn.XLOOKUP(Mass_Data[[#This Row],[axle group 3]]&amp;Mass_Data[[#This Row],[Mass Scheme]],Axle_Data[Axle Code]&amp;Axle_Data[Mass Scheme],Axle_Data[MDL Maximum Mass (t)],"",0)</f>
        <v>21</v>
      </c>
      <c r="V16" cm="1">
        <f t="array" ref="V16">_xlfn.XLOOKUP(Mass_Data[[#This Row],[axle group 4]]&amp;Mass_Data[[#This Row],[Mass Scheme]],Axle_Data[Axle Code]&amp;Axle_Data[Mass Scheme],Axle_Data[MDL Maximum Mass (t)],"",0)</f>
        <v>21</v>
      </c>
      <c r="W16" t="str" cm="1">
        <f t="array" ref="W16">_xlfn.XLOOKUP(Mass_Data[[#This Row],[axle group 5]]&amp;Mass_Data[[#This Row],[Mass Scheme]],Axle_Data[Axle Code]&amp;Axle_Data[Mass Scheme],Axle_Data[MDL Maximum Mass (t)],"",0)</f>
        <v/>
      </c>
      <c r="X16" t="str" cm="1">
        <f t="array" ref="X16">_xlfn.XLOOKUP(Mass_Data[[#This Row],[axle group 6]]&amp;Mass_Data[[#This Row],[Mass Scheme]],Axle_Data[Axle Code]&amp;Axle_Data[Mass Scheme],Axle_Data[MDL Maximum Mass (t)],"",0)</f>
        <v/>
      </c>
      <c r="Y16" t="str" cm="1">
        <f t="array" ref="Y16">_xlfn.XLOOKUP(Mass_Data[[#This Row],[axle group 7]]&amp;Mass_Data[[#This Row],[Mass Scheme]],Axle_Data[Axle Code]&amp;Axle_Data[Mass Scheme],Axle_Data[MDL Maximum Mass (t)],"",0)</f>
        <v/>
      </c>
      <c r="Z16" s="81">
        <f>SUM(Mass_Data[[#This Row],[MDL axle group 1 mass]:[MDL axle group 7 mass]])</f>
        <v>65.5</v>
      </c>
      <c r="AA16">
        <f>Mass_Data[[#This Row],[Total (1)]]-Mass_Data[[#This Row],[GCM (t)]]</f>
        <v>0.5</v>
      </c>
      <c r="AB16" t="str">
        <f>IF(Mass_Data[[#This Row],[Difference between MDL and GCM]]=0,"YES","NO")</f>
        <v>NO</v>
      </c>
      <c r="AC16" s="22">
        <f>IFERROR(IF(Mass_Data[[#This Row],[Check (1)]]="YES",Mass_Data[[#This Row],[MDL axle group 1 mass]],Mass_Data[[#This Row],[MDL axle group 1 mass]]-(Mass_Data[[#This Row],[Difference between MDL and GCM]]*(Mass_Data[[#This Row],[MDL axle group 1 mass]]/Mass_Data[[#This Row],[Total (1)]]))),"")</f>
        <v>6.4503816793893129</v>
      </c>
      <c r="AD16" s="22">
        <f>IFERROR(IF(Mass_Data[[#This Row],[Check (1)]]="YES",Mass_Data[[#This Row],[MDL axle group 2 mass]],Mass_Data[[#This Row],[MDL axle group 2 mass]]-(Mass_Data[[#This Row],[Difference between MDL and GCM]]*(Mass_Data[[#This Row],[MDL axle group 2 mass]]/Mass_Data[[#This Row],[Total (1)]]))),"")</f>
        <v>16.870229007633586</v>
      </c>
      <c r="AE16" s="22">
        <f>IFERROR(IF(Mass_Data[[#This Row],[Check (1)]]="YES",Mass_Data[[#This Row],[MDL axle group 3 mass]],Mass_Data[[#This Row],[MDL axle group 3 mass]]-(Mass_Data[[#This Row],[Difference between MDL and GCM]]*(Mass_Data[[#This Row],[MDL axle group 3 mass]]/Mass_Data[[#This Row],[Total (1)]]))),"")</f>
        <v>20.83969465648855</v>
      </c>
      <c r="AF16" s="22">
        <f>IFERROR(IF(Mass_Data[[#This Row],[Check (1)]]="YES",Mass_Data[[#This Row],[MDL axle group 4 mass]],Mass_Data[[#This Row],[MDL axle group 4 mass]]-(Mass_Data[[#This Row],[Difference between MDL and GCM]]*(Mass_Data[[#This Row],[MDL axle group 4 mass]]/Mass_Data[[#This Row],[Total (1)]]))),"")</f>
        <v>20.83969465648855</v>
      </c>
      <c r="AG16" s="22" t="str">
        <f>IFERROR(IF(Mass_Data[[#This Row],[Check (1)]]="YES",Mass_Data[[#This Row],[MDL axle group 5 mass]],Mass_Data[[#This Row],[MDL axle group 5 mass]]-(Mass_Data[[#This Row],[Difference between MDL and GCM]]*(Mass_Data[[#This Row],[MDL axle group 5 mass]]/Mass_Data[[#This Row],[Total (1)]]))),"")</f>
        <v/>
      </c>
      <c r="AH16" s="22" t="str">
        <f>IFERROR(IF(Mass_Data[[#This Row],[Check (1)]]="YES",Mass_Data[[#This Row],[MDL axle group 6 mass]],Mass_Data[[#This Row],[MDL axle group 6 mass]]-(Mass_Data[[#This Row],[Difference between MDL and GCM]]*(Mass_Data[[#This Row],[MDL axle group 6 mass]]/Mass_Data[[#This Row],[Total (1)]]))),"")</f>
        <v/>
      </c>
      <c r="AI16" s="22" t="str">
        <f>IFERROR(IF(Mass_Data[[#This Row],[Check (1)]]="YES",Mass_Data[[#This Row],[MDL axle group 7 mass]],Mass_Data[[#This Row],[MDL axle group 7 mass]]-(Mass_Data[[#This Row],[Difference between MDL and GCM]]*(Mass_Data[[#This Row],[MDL axle group 7 mass]]/Mass_Data[[#This Row],[Total (1)]]))),"")</f>
        <v/>
      </c>
      <c r="AJ16" s="81">
        <f>SUM(Mass_Data[[#This Row],[Corrected axle group 1 mass]:[Corrected axle group 7 mass]])</f>
        <v>65</v>
      </c>
      <c r="AK16">
        <f>Mass_Data[[#This Row],[Total (2)]]-Mass_Data[[#This Row],[GCM (t)]]</f>
        <v>0</v>
      </c>
      <c r="AL16" s="22" t="str">
        <f>IF(Mass_Data[[#This Row],[Difference between MDL and corrected axle masses]]=0,"YES","NO")</f>
        <v>YES</v>
      </c>
    </row>
    <row r="17" spans="3:38" x14ac:dyDescent="0.35">
      <c r="C17" s="10" t="str">
        <f t="shared" si="0"/>
        <v>PBS - 3-axle truck and 6-axle dog trailer (HML): 2</v>
      </c>
      <c r="D17" s="10" t="s">
        <v>215</v>
      </c>
      <c r="E17" s="10" t="s">
        <v>147</v>
      </c>
      <c r="F17" s="10" t="s">
        <v>7</v>
      </c>
      <c r="G17" s="10" t="s">
        <v>4</v>
      </c>
      <c r="H17" t="s">
        <v>63</v>
      </c>
      <c r="I17" s="9">
        <v>68.5</v>
      </c>
      <c r="J17" s="14">
        <v>48.536550239234451</v>
      </c>
      <c r="K17" s="14">
        <f>Mass_Data[[#This Row],[GCM (t)]]-Mass_Data[[#This Row],[Payload (t)]]</f>
        <v>19.963449760765549</v>
      </c>
      <c r="L17" t="s">
        <v>8</v>
      </c>
      <c r="M17" t="s">
        <v>9</v>
      </c>
      <c r="N17" t="s">
        <v>10</v>
      </c>
      <c r="O17" t="s">
        <v>10</v>
      </c>
      <c r="P17">
        <v>0</v>
      </c>
      <c r="Q17">
        <v>0</v>
      </c>
      <c r="R17">
        <v>0</v>
      </c>
      <c r="S17" cm="1">
        <f t="array" ref="S17">_xlfn.XLOOKUP(Mass_Data[[#This Row],[axle group 1]]&amp;Mass_Data[[#This Row],[Mass Scheme]],Axle_Data[Axle Code]&amp;Axle_Data[Mass Scheme],Axle_Data[MDL Maximum Mass (t)],"",0)</f>
        <v>6.5</v>
      </c>
      <c r="T17" cm="1">
        <f t="array" ref="T17">_xlfn.XLOOKUP(Mass_Data[[#This Row],[axle group 2]]&amp;Mass_Data[[#This Row],[Mass Scheme]],Axle_Data[Axle Code]&amp;Axle_Data[Mass Scheme],Axle_Data[MDL Maximum Mass (t)],"",0)</f>
        <v>17</v>
      </c>
      <c r="U17" cm="1">
        <f t="array" ref="U17">_xlfn.XLOOKUP(Mass_Data[[#This Row],[axle group 3]]&amp;Mass_Data[[#This Row],[Mass Scheme]],Axle_Data[Axle Code]&amp;Axle_Data[Mass Scheme],Axle_Data[MDL Maximum Mass (t)],"",0)</f>
        <v>22.5</v>
      </c>
      <c r="V17" cm="1">
        <f t="array" ref="V17">_xlfn.XLOOKUP(Mass_Data[[#This Row],[axle group 4]]&amp;Mass_Data[[#This Row],[Mass Scheme]],Axle_Data[Axle Code]&amp;Axle_Data[Mass Scheme],Axle_Data[MDL Maximum Mass (t)],"",0)</f>
        <v>22.5</v>
      </c>
      <c r="W17" t="str" cm="1">
        <f t="array" ref="W17">_xlfn.XLOOKUP(Mass_Data[[#This Row],[axle group 5]]&amp;Mass_Data[[#This Row],[Mass Scheme]],Axle_Data[Axle Code]&amp;Axle_Data[Mass Scheme],Axle_Data[MDL Maximum Mass (t)],"",0)</f>
        <v/>
      </c>
      <c r="X17" t="str" cm="1">
        <f t="array" ref="X17">_xlfn.XLOOKUP(Mass_Data[[#This Row],[axle group 6]]&amp;Mass_Data[[#This Row],[Mass Scheme]],Axle_Data[Axle Code]&amp;Axle_Data[Mass Scheme],Axle_Data[MDL Maximum Mass (t)],"",0)</f>
        <v/>
      </c>
      <c r="Y17" t="str" cm="1">
        <f t="array" ref="Y17">_xlfn.XLOOKUP(Mass_Data[[#This Row],[axle group 7]]&amp;Mass_Data[[#This Row],[Mass Scheme]],Axle_Data[Axle Code]&amp;Axle_Data[Mass Scheme],Axle_Data[MDL Maximum Mass (t)],"",0)</f>
        <v/>
      </c>
      <c r="Z17" s="81">
        <f>SUM(Mass_Data[[#This Row],[MDL axle group 1 mass]:[MDL axle group 7 mass]])</f>
        <v>68.5</v>
      </c>
      <c r="AA17">
        <f>Mass_Data[[#This Row],[Total (1)]]-Mass_Data[[#This Row],[GCM (t)]]</f>
        <v>0</v>
      </c>
      <c r="AB17" t="str">
        <f>IF(Mass_Data[[#This Row],[Difference between MDL and GCM]]=0,"YES","NO")</f>
        <v>YES</v>
      </c>
      <c r="AC17" s="22">
        <f>IFERROR(IF(Mass_Data[[#This Row],[Check (1)]]="YES",Mass_Data[[#This Row],[MDL axle group 1 mass]],Mass_Data[[#This Row],[MDL axle group 1 mass]]-(Mass_Data[[#This Row],[Difference between MDL and GCM]]*(Mass_Data[[#This Row],[MDL axle group 1 mass]]/Mass_Data[[#This Row],[Total (1)]]))),"")</f>
        <v>6.5</v>
      </c>
      <c r="AD17" s="22">
        <f>IFERROR(IF(Mass_Data[[#This Row],[Check (1)]]="YES",Mass_Data[[#This Row],[MDL axle group 2 mass]],Mass_Data[[#This Row],[MDL axle group 2 mass]]-(Mass_Data[[#This Row],[Difference between MDL and GCM]]*(Mass_Data[[#This Row],[MDL axle group 2 mass]]/Mass_Data[[#This Row],[Total (1)]]))),"")</f>
        <v>17</v>
      </c>
      <c r="AE17" s="22">
        <f>IFERROR(IF(Mass_Data[[#This Row],[Check (1)]]="YES",Mass_Data[[#This Row],[MDL axle group 3 mass]],Mass_Data[[#This Row],[MDL axle group 3 mass]]-(Mass_Data[[#This Row],[Difference between MDL and GCM]]*(Mass_Data[[#This Row],[MDL axle group 3 mass]]/Mass_Data[[#This Row],[Total (1)]]))),"")</f>
        <v>22.5</v>
      </c>
      <c r="AF17" s="22">
        <f>IFERROR(IF(Mass_Data[[#This Row],[Check (1)]]="YES",Mass_Data[[#This Row],[MDL axle group 4 mass]],Mass_Data[[#This Row],[MDL axle group 4 mass]]-(Mass_Data[[#This Row],[Difference between MDL and GCM]]*(Mass_Data[[#This Row],[MDL axle group 4 mass]]/Mass_Data[[#This Row],[Total (1)]]))),"")</f>
        <v>22.5</v>
      </c>
      <c r="AG17" s="22" t="str">
        <f>IFERROR(IF(Mass_Data[[#This Row],[Check (1)]]="YES",Mass_Data[[#This Row],[MDL axle group 5 mass]],Mass_Data[[#This Row],[MDL axle group 5 mass]]-(Mass_Data[[#This Row],[Difference between MDL and GCM]]*(Mass_Data[[#This Row],[MDL axle group 5 mass]]/Mass_Data[[#This Row],[Total (1)]]))),"")</f>
        <v/>
      </c>
      <c r="AH17" s="22" t="str">
        <f>IFERROR(IF(Mass_Data[[#This Row],[Check (1)]]="YES",Mass_Data[[#This Row],[MDL axle group 6 mass]],Mass_Data[[#This Row],[MDL axle group 6 mass]]-(Mass_Data[[#This Row],[Difference between MDL and GCM]]*(Mass_Data[[#This Row],[MDL axle group 6 mass]]/Mass_Data[[#This Row],[Total (1)]]))),"")</f>
        <v/>
      </c>
      <c r="AI17" s="22" t="str">
        <f>IFERROR(IF(Mass_Data[[#This Row],[Check (1)]]="YES",Mass_Data[[#This Row],[MDL axle group 7 mass]],Mass_Data[[#This Row],[MDL axle group 7 mass]]-(Mass_Data[[#This Row],[Difference between MDL and GCM]]*(Mass_Data[[#This Row],[MDL axle group 7 mass]]/Mass_Data[[#This Row],[Total (1)]]))),"")</f>
        <v/>
      </c>
      <c r="AJ17" s="81">
        <f>SUM(Mass_Data[[#This Row],[Corrected axle group 1 mass]:[Corrected axle group 7 mass]])</f>
        <v>68.5</v>
      </c>
      <c r="AK17">
        <f>Mass_Data[[#This Row],[Total (2)]]-Mass_Data[[#This Row],[GCM (t)]]</f>
        <v>0</v>
      </c>
      <c r="AL17" s="22" t="str">
        <f>IF(Mass_Data[[#This Row],[Difference between MDL and corrected axle masses]]=0,"YES","NO")</f>
        <v>YES</v>
      </c>
    </row>
    <row r="18" spans="3:38" x14ac:dyDescent="0.35">
      <c r="C18" s="10" t="str">
        <f t="shared" si="0"/>
        <v>PBS - 4-axle truck and 3-axle dog trailer (GML): 1</v>
      </c>
      <c r="D18" s="10" t="s">
        <v>213</v>
      </c>
      <c r="E18" s="10" t="s">
        <v>147</v>
      </c>
      <c r="F18" s="10" t="s">
        <v>18</v>
      </c>
      <c r="G18" s="10" t="s">
        <v>3</v>
      </c>
      <c r="H18" t="s">
        <v>117</v>
      </c>
      <c r="I18" s="9">
        <v>50</v>
      </c>
      <c r="J18" s="14">
        <v>30.627600265251992</v>
      </c>
      <c r="K18" s="14">
        <f>Mass_Data[[#This Row],[GCM (t)]]-Mass_Data[[#This Row],[Payload (t)]]</f>
        <v>19.372399734748008</v>
      </c>
      <c r="L18" t="s">
        <v>40</v>
      </c>
      <c r="M18" t="s">
        <v>9</v>
      </c>
      <c r="N18" t="s">
        <v>24</v>
      </c>
      <c r="O18" t="s">
        <v>30</v>
      </c>
      <c r="P18">
        <v>0</v>
      </c>
      <c r="R18">
        <v>0</v>
      </c>
      <c r="S18" cm="1">
        <f t="array" ref="S18">_xlfn.XLOOKUP(Mass_Data[[#This Row],[axle group 1]]&amp;Mass_Data[[#This Row],[Mass Scheme]],Axle_Data[Axle Code]&amp;Axle_Data[Mass Scheme],Axle_Data[MDL Maximum Mass (t)],"",0)</f>
        <v>11</v>
      </c>
      <c r="T18" cm="1">
        <f t="array" ref="T18">_xlfn.XLOOKUP(Mass_Data[[#This Row],[axle group 2]]&amp;Mass_Data[[#This Row],[Mass Scheme]],Axle_Data[Axle Code]&amp;Axle_Data[Mass Scheme],Axle_Data[MDL Maximum Mass (t)],"",0)</f>
        <v>16.5</v>
      </c>
      <c r="U18" cm="1">
        <f t="array" ref="U18">_xlfn.XLOOKUP(Mass_Data[[#This Row],[axle group 3]]&amp;Mass_Data[[#This Row],[Mass Scheme]],Axle_Data[Axle Code]&amp;Axle_Data[Mass Scheme],Axle_Data[MDL Maximum Mass (t)],"",0)</f>
        <v>9</v>
      </c>
      <c r="V18" cm="1">
        <f t="array" ref="V18">_xlfn.XLOOKUP(Mass_Data[[#This Row],[axle group 4]]&amp;Mass_Data[[#This Row],[Mass Scheme]],Axle_Data[Axle Code]&amp;Axle_Data[Mass Scheme],Axle_Data[MDL Maximum Mass (t)],"",0)</f>
        <v>16.5</v>
      </c>
      <c r="W18" t="str" cm="1">
        <f t="array" ref="W18">_xlfn.XLOOKUP(Mass_Data[[#This Row],[axle group 5]]&amp;Mass_Data[[#This Row],[Mass Scheme]],Axle_Data[Axle Code]&amp;Axle_Data[Mass Scheme],Axle_Data[MDL Maximum Mass (t)],"",0)</f>
        <v/>
      </c>
      <c r="X18" t="str" cm="1">
        <f t="array" ref="X18">_xlfn.XLOOKUP(Mass_Data[[#This Row],[axle group 6]]&amp;Mass_Data[[#This Row],[Mass Scheme]],Axle_Data[Axle Code]&amp;Axle_Data[Mass Scheme],Axle_Data[MDL Maximum Mass (t)],"",0)</f>
        <v/>
      </c>
      <c r="Y18" t="str" cm="1">
        <f t="array" ref="Y18">_xlfn.XLOOKUP(Mass_Data[[#This Row],[axle group 7]]&amp;Mass_Data[[#This Row],[Mass Scheme]],Axle_Data[Axle Code]&amp;Axle_Data[Mass Scheme],Axle_Data[MDL Maximum Mass (t)],"",0)</f>
        <v/>
      </c>
      <c r="Z18" s="81">
        <f>SUM(Mass_Data[[#This Row],[MDL axle group 1 mass]:[MDL axle group 7 mass]])</f>
        <v>53</v>
      </c>
      <c r="AA18">
        <f>Mass_Data[[#This Row],[Total (1)]]-Mass_Data[[#This Row],[GCM (t)]]</f>
        <v>3</v>
      </c>
      <c r="AB18" t="str">
        <f>IF(Mass_Data[[#This Row],[Difference between MDL and GCM]]=0,"YES","NO")</f>
        <v>NO</v>
      </c>
      <c r="AC18" s="22">
        <f>IFERROR(IF(Mass_Data[[#This Row],[Check (1)]]="YES",Mass_Data[[#This Row],[MDL axle group 1 mass]],Mass_Data[[#This Row],[MDL axle group 1 mass]]-(Mass_Data[[#This Row],[Difference between MDL and GCM]]*(Mass_Data[[#This Row],[MDL axle group 1 mass]]/Mass_Data[[#This Row],[Total (1)]]))),"")</f>
        <v>10.377358490566039</v>
      </c>
      <c r="AD18" s="22">
        <f>IFERROR(IF(Mass_Data[[#This Row],[Check (1)]]="YES",Mass_Data[[#This Row],[MDL axle group 2 mass]],Mass_Data[[#This Row],[MDL axle group 2 mass]]-(Mass_Data[[#This Row],[Difference between MDL and GCM]]*(Mass_Data[[#This Row],[MDL axle group 2 mass]]/Mass_Data[[#This Row],[Total (1)]]))),"")</f>
        <v>15.566037735849056</v>
      </c>
      <c r="AE18" s="22">
        <f>IFERROR(IF(Mass_Data[[#This Row],[Check (1)]]="YES",Mass_Data[[#This Row],[MDL axle group 3 mass]],Mass_Data[[#This Row],[MDL axle group 3 mass]]-(Mass_Data[[#This Row],[Difference between MDL and GCM]]*(Mass_Data[[#This Row],[MDL axle group 3 mass]]/Mass_Data[[#This Row],[Total (1)]]))),"")</f>
        <v>8.4905660377358494</v>
      </c>
      <c r="AF18" s="22">
        <f>IFERROR(IF(Mass_Data[[#This Row],[Check (1)]]="YES",Mass_Data[[#This Row],[MDL axle group 4 mass]],Mass_Data[[#This Row],[MDL axle group 4 mass]]-(Mass_Data[[#This Row],[Difference between MDL and GCM]]*(Mass_Data[[#This Row],[MDL axle group 4 mass]]/Mass_Data[[#This Row],[Total (1)]]))),"")</f>
        <v>15.566037735849056</v>
      </c>
      <c r="AG18" s="22" t="str">
        <f>IFERROR(IF(Mass_Data[[#This Row],[Check (1)]]="YES",Mass_Data[[#This Row],[MDL axle group 5 mass]],Mass_Data[[#This Row],[MDL axle group 5 mass]]-(Mass_Data[[#This Row],[Difference between MDL and GCM]]*(Mass_Data[[#This Row],[MDL axle group 5 mass]]/Mass_Data[[#This Row],[Total (1)]]))),"")</f>
        <v/>
      </c>
      <c r="AH18" s="22" t="str">
        <f>IFERROR(IF(Mass_Data[[#This Row],[Check (1)]]="YES",Mass_Data[[#This Row],[MDL axle group 6 mass]],Mass_Data[[#This Row],[MDL axle group 6 mass]]-(Mass_Data[[#This Row],[Difference between MDL and GCM]]*(Mass_Data[[#This Row],[MDL axle group 6 mass]]/Mass_Data[[#This Row],[Total (1)]]))),"")</f>
        <v/>
      </c>
      <c r="AI18" s="22" t="str">
        <f>IFERROR(IF(Mass_Data[[#This Row],[Check (1)]]="YES",Mass_Data[[#This Row],[MDL axle group 7 mass]],Mass_Data[[#This Row],[MDL axle group 7 mass]]-(Mass_Data[[#This Row],[Difference between MDL and GCM]]*(Mass_Data[[#This Row],[MDL axle group 7 mass]]/Mass_Data[[#This Row],[Total (1)]]))),"")</f>
        <v/>
      </c>
      <c r="AJ18" s="81">
        <f>SUM(Mass_Data[[#This Row],[Corrected axle group 1 mass]:[Corrected axle group 7 mass]])</f>
        <v>50.000000000000007</v>
      </c>
      <c r="AK18">
        <f>Mass_Data[[#This Row],[Total (2)]]-Mass_Data[[#This Row],[GCM (t)]]</f>
        <v>0</v>
      </c>
      <c r="AL18" s="22" t="str">
        <f>IF(Mass_Data[[#This Row],[Difference between MDL and corrected axle masses]]=0,"YES","NO")</f>
        <v>YES</v>
      </c>
    </row>
    <row r="19" spans="3:38" x14ac:dyDescent="0.35">
      <c r="C19" s="10" t="str">
        <f t="shared" si="0"/>
        <v>PBS - 4-axle truck and 3-axle dog trailer (GML): 2</v>
      </c>
      <c r="D19" s="10" t="s">
        <v>213</v>
      </c>
      <c r="E19" s="10" t="s">
        <v>147</v>
      </c>
      <c r="F19" s="10" t="s">
        <v>18</v>
      </c>
      <c r="G19" s="10" t="s">
        <v>4</v>
      </c>
      <c r="H19" t="s">
        <v>117</v>
      </c>
      <c r="I19" s="9">
        <v>53</v>
      </c>
      <c r="J19" s="14">
        <v>33.627600265251992</v>
      </c>
      <c r="K19" s="14">
        <f>Mass_Data[[#This Row],[GCM (t)]]-Mass_Data[[#This Row],[Payload (t)]]</f>
        <v>19.372399734748008</v>
      </c>
      <c r="L19" t="s">
        <v>40</v>
      </c>
      <c r="M19" t="s">
        <v>9</v>
      </c>
      <c r="N19" t="s">
        <v>24</v>
      </c>
      <c r="O19" t="s">
        <v>30</v>
      </c>
      <c r="P19">
        <v>0</v>
      </c>
      <c r="R19">
        <v>0</v>
      </c>
      <c r="S19" cm="1">
        <f t="array" ref="S19">_xlfn.XLOOKUP(Mass_Data[[#This Row],[axle group 1]]&amp;Mass_Data[[#This Row],[Mass Scheme]],Axle_Data[Axle Code]&amp;Axle_Data[Mass Scheme],Axle_Data[MDL Maximum Mass (t)],"",0)</f>
        <v>11</v>
      </c>
      <c r="T19" cm="1">
        <f t="array" ref="T19">_xlfn.XLOOKUP(Mass_Data[[#This Row],[axle group 2]]&amp;Mass_Data[[#This Row],[Mass Scheme]],Axle_Data[Axle Code]&amp;Axle_Data[Mass Scheme],Axle_Data[MDL Maximum Mass (t)],"",0)</f>
        <v>16.5</v>
      </c>
      <c r="U19" cm="1">
        <f t="array" ref="U19">_xlfn.XLOOKUP(Mass_Data[[#This Row],[axle group 3]]&amp;Mass_Data[[#This Row],[Mass Scheme]],Axle_Data[Axle Code]&amp;Axle_Data[Mass Scheme],Axle_Data[MDL Maximum Mass (t)],"",0)</f>
        <v>9</v>
      </c>
      <c r="V19" cm="1">
        <f t="array" ref="V19">_xlfn.XLOOKUP(Mass_Data[[#This Row],[axle group 4]]&amp;Mass_Data[[#This Row],[Mass Scheme]],Axle_Data[Axle Code]&amp;Axle_Data[Mass Scheme],Axle_Data[MDL Maximum Mass (t)],"",0)</f>
        <v>16.5</v>
      </c>
      <c r="W19" t="str" cm="1">
        <f t="array" ref="W19">_xlfn.XLOOKUP(Mass_Data[[#This Row],[axle group 5]]&amp;Mass_Data[[#This Row],[Mass Scheme]],Axle_Data[Axle Code]&amp;Axle_Data[Mass Scheme],Axle_Data[MDL Maximum Mass (t)],"",0)</f>
        <v/>
      </c>
      <c r="X19" t="str" cm="1">
        <f t="array" ref="X19">_xlfn.XLOOKUP(Mass_Data[[#This Row],[axle group 6]]&amp;Mass_Data[[#This Row],[Mass Scheme]],Axle_Data[Axle Code]&amp;Axle_Data[Mass Scheme],Axle_Data[MDL Maximum Mass (t)],"",0)</f>
        <v/>
      </c>
      <c r="Y19" t="str" cm="1">
        <f t="array" ref="Y19">_xlfn.XLOOKUP(Mass_Data[[#This Row],[axle group 7]]&amp;Mass_Data[[#This Row],[Mass Scheme]],Axle_Data[Axle Code]&amp;Axle_Data[Mass Scheme],Axle_Data[MDL Maximum Mass (t)],"",0)</f>
        <v/>
      </c>
      <c r="Z19" s="81">
        <f>SUM(Mass_Data[[#This Row],[MDL axle group 1 mass]:[MDL axle group 7 mass]])</f>
        <v>53</v>
      </c>
      <c r="AA19">
        <f>Mass_Data[[#This Row],[Total (1)]]-Mass_Data[[#This Row],[GCM (t)]]</f>
        <v>0</v>
      </c>
      <c r="AB19" t="str">
        <f>IF(Mass_Data[[#This Row],[Difference between MDL and GCM]]=0,"YES","NO")</f>
        <v>YES</v>
      </c>
      <c r="AC19" s="22">
        <f>IFERROR(IF(Mass_Data[[#This Row],[Check (1)]]="YES",Mass_Data[[#This Row],[MDL axle group 1 mass]],Mass_Data[[#This Row],[MDL axle group 1 mass]]-(Mass_Data[[#This Row],[Difference between MDL and GCM]]*(Mass_Data[[#This Row],[MDL axle group 1 mass]]/Mass_Data[[#This Row],[Total (1)]]))),"")</f>
        <v>11</v>
      </c>
      <c r="AD19" s="22">
        <f>IFERROR(IF(Mass_Data[[#This Row],[Check (1)]]="YES",Mass_Data[[#This Row],[MDL axle group 2 mass]],Mass_Data[[#This Row],[MDL axle group 2 mass]]-(Mass_Data[[#This Row],[Difference between MDL and GCM]]*(Mass_Data[[#This Row],[MDL axle group 2 mass]]/Mass_Data[[#This Row],[Total (1)]]))),"")</f>
        <v>16.5</v>
      </c>
      <c r="AE19" s="22">
        <f>IFERROR(IF(Mass_Data[[#This Row],[Check (1)]]="YES",Mass_Data[[#This Row],[MDL axle group 3 mass]],Mass_Data[[#This Row],[MDL axle group 3 mass]]-(Mass_Data[[#This Row],[Difference between MDL and GCM]]*(Mass_Data[[#This Row],[MDL axle group 3 mass]]/Mass_Data[[#This Row],[Total (1)]]))),"")</f>
        <v>9</v>
      </c>
      <c r="AF19" s="22">
        <f>IFERROR(IF(Mass_Data[[#This Row],[Check (1)]]="YES",Mass_Data[[#This Row],[MDL axle group 4 mass]],Mass_Data[[#This Row],[MDL axle group 4 mass]]-(Mass_Data[[#This Row],[Difference between MDL and GCM]]*(Mass_Data[[#This Row],[MDL axle group 4 mass]]/Mass_Data[[#This Row],[Total (1)]]))),"")</f>
        <v>16.5</v>
      </c>
      <c r="AG19" s="22" t="str">
        <f>IFERROR(IF(Mass_Data[[#This Row],[Check (1)]]="YES",Mass_Data[[#This Row],[MDL axle group 5 mass]],Mass_Data[[#This Row],[MDL axle group 5 mass]]-(Mass_Data[[#This Row],[Difference between MDL and GCM]]*(Mass_Data[[#This Row],[MDL axle group 5 mass]]/Mass_Data[[#This Row],[Total (1)]]))),"")</f>
        <v/>
      </c>
      <c r="AH19" s="22" t="str">
        <f>IFERROR(IF(Mass_Data[[#This Row],[Check (1)]]="YES",Mass_Data[[#This Row],[MDL axle group 6 mass]],Mass_Data[[#This Row],[MDL axle group 6 mass]]-(Mass_Data[[#This Row],[Difference between MDL and GCM]]*(Mass_Data[[#This Row],[MDL axle group 6 mass]]/Mass_Data[[#This Row],[Total (1)]]))),"")</f>
        <v/>
      </c>
      <c r="AI19" s="22" t="str">
        <f>IFERROR(IF(Mass_Data[[#This Row],[Check (1)]]="YES",Mass_Data[[#This Row],[MDL axle group 7 mass]],Mass_Data[[#This Row],[MDL axle group 7 mass]]-(Mass_Data[[#This Row],[Difference between MDL and GCM]]*(Mass_Data[[#This Row],[MDL axle group 7 mass]]/Mass_Data[[#This Row],[Total (1)]]))),"")</f>
        <v/>
      </c>
      <c r="AJ19" s="81">
        <f>SUM(Mass_Data[[#This Row],[Corrected axle group 1 mass]:[Corrected axle group 7 mass]])</f>
        <v>53</v>
      </c>
      <c r="AK19">
        <f>Mass_Data[[#This Row],[Total (2)]]-Mass_Data[[#This Row],[GCM (t)]]</f>
        <v>0</v>
      </c>
      <c r="AL19" s="22" t="str">
        <f>IF(Mass_Data[[#This Row],[Difference between MDL and corrected axle masses]]=0,"YES","NO")</f>
        <v>YES</v>
      </c>
    </row>
    <row r="20" spans="3:38" x14ac:dyDescent="0.35">
      <c r="C20" s="10" t="str">
        <f t="shared" si="0"/>
        <v>PBS - 4-axle truck and 3-axle dog trailer (CML): 2</v>
      </c>
      <c r="D20" s="10" t="s">
        <v>213</v>
      </c>
      <c r="E20" s="10" t="s">
        <v>147</v>
      </c>
      <c r="F20" s="10" t="s">
        <v>20</v>
      </c>
      <c r="G20" s="10" t="s">
        <v>4</v>
      </c>
      <c r="H20" t="s">
        <v>117</v>
      </c>
      <c r="I20" s="9">
        <v>54</v>
      </c>
      <c r="J20" s="14">
        <v>34.627600265251992</v>
      </c>
      <c r="K20" s="14">
        <f>Mass_Data[[#This Row],[GCM (t)]]-Mass_Data[[#This Row],[Payload (t)]]</f>
        <v>19.372399734748008</v>
      </c>
      <c r="L20" t="s">
        <v>40</v>
      </c>
      <c r="M20" t="s">
        <v>9</v>
      </c>
      <c r="N20" t="s">
        <v>24</v>
      </c>
      <c r="O20" t="s">
        <v>30</v>
      </c>
      <c r="P20">
        <v>0</v>
      </c>
      <c r="R20">
        <v>0</v>
      </c>
      <c r="S20" cm="1">
        <f t="array" ref="S20">_xlfn.XLOOKUP(Mass_Data[[#This Row],[axle group 1]]&amp;Mass_Data[[#This Row],[Mass Scheme]],Axle_Data[Axle Code]&amp;Axle_Data[Mass Scheme],Axle_Data[MDL Maximum Mass (t)],"",0)</f>
        <v>11</v>
      </c>
      <c r="T20" cm="1">
        <f t="array" ref="T20">_xlfn.XLOOKUP(Mass_Data[[#This Row],[axle group 2]]&amp;Mass_Data[[#This Row],[Mass Scheme]],Axle_Data[Axle Code]&amp;Axle_Data[Mass Scheme],Axle_Data[MDL Maximum Mass (t)],"",0)</f>
        <v>17</v>
      </c>
      <c r="U20" cm="1">
        <f t="array" ref="U20">_xlfn.XLOOKUP(Mass_Data[[#This Row],[axle group 3]]&amp;Mass_Data[[#This Row],[Mass Scheme]],Axle_Data[Axle Code]&amp;Axle_Data[Mass Scheme],Axle_Data[MDL Maximum Mass (t)],"",0)</f>
        <v>9</v>
      </c>
      <c r="V20" cm="1">
        <f t="array" ref="V20">_xlfn.XLOOKUP(Mass_Data[[#This Row],[axle group 4]]&amp;Mass_Data[[#This Row],[Mass Scheme]],Axle_Data[Axle Code]&amp;Axle_Data[Mass Scheme],Axle_Data[MDL Maximum Mass (t)],"",0)</f>
        <v>17</v>
      </c>
      <c r="W20" t="str" cm="1">
        <f t="array" ref="W20">_xlfn.XLOOKUP(Mass_Data[[#This Row],[axle group 5]]&amp;Mass_Data[[#This Row],[Mass Scheme]],Axle_Data[Axle Code]&amp;Axle_Data[Mass Scheme],Axle_Data[MDL Maximum Mass (t)],"",0)</f>
        <v/>
      </c>
      <c r="X20" t="str" cm="1">
        <f t="array" ref="X20">_xlfn.XLOOKUP(Mass_Data[[#This Row],[axle group 6]]&amp;Mass_Data[[#This Row],[Mass Scheme]],Axle_Data[Axle Code]&amp;Axle_Data[Mass Scheme],Axle_Data[MDL Maximum Mass (t)],"",0)</f>
        <v/>
      </c>
      <c r="Y20" t="str" cm="1">
        <f t="array" ref="Y20">_xlfn.XLOOKUP(Mass_Data[[#This Row],[axle group 7]]&amp;Mass_Data[[#This Row],[Mass Scheme]],Axle_Data[Axle Code]&amp;Axle_Data[Mass Scheme],Axle_Data[MDL Maximum Mass (t)],"",0)</f>
        <v/>
      </c>
      <c r="Z20" s="81">
        <f>SUM(Mass_Data[[#This Row],[MDL axle group 1 mass]:[MDL axle group 7 mass]])</f>
        <v>54</v>
      </c>
      <c r="AA20">
        <f>Mass_Data[[#This Row],[Total (1)]]-Mass_Data[[#This Row],[GCM (t)]]</f>
        <v>0</v>
      </c>
      <c r="AB20" t="str">
        <f>IF(Mass_Data[[#This Row],[Difference between MDL and GCM]]=0,"YES","NO")</f>
        <v>YES</v>
      </c>
      <c r="AC20" s="22">
        <f>IFERROR(IF(Mass_Data[[#This Row],[Check (1)]]="YES",Mass_Data[[#This Row],[MDL axle group 1 mass]],Mass_Data[[#This Row],[MDL axle group 1 mass]]-(Mass_Data[[#This Row],[Difference between MDL and GCM]]*(Mass_Data[[#This Row],[MDL axle group 1 mass]]/Mass_Data[[#This Row],[Total (1)]]))),"")</f>
        <v>11</v>
      </c>
      <c r="AD20" s="22">
        <f>IFERROR(IF(Mass_Data[[#This Row],[Check (1)]]="YES",Mass_Data[[#This Row],[MDL axle group 2 mass]],Mass_Data[[#This Row],[MDL axle group 2 mass]]-(Mass_Data[[#This Row],[Difference between MDL and GCM]]*(Mass_Data[[#This Row],[MDL axle group 2 mass]]/Mass_Data[[#This Row],[Total (1)]]))),"")</f>
        <v>17</v>
      </c>
      <c r="AE20" s="22">
        <f>IFERROR(IF(Mass_Data[[#This Row],[Check (1)]]="YES",Mass_Data[[#This Row],[MDL axle group 3 mass]],Mass_Data[[#This Row],[MDL axle group 3 mass]]-(Mass_Data[[#This Row],[Difference between MDL and GCM]]*(Mass_Data[[#This Row],[MDL axle group 3 mass]]/Mass_Data[[#This Row],[Total (1)]]))),"")</f>
        <v>9</v>
      </c>
      <c r="AF20" s="22">
        <f>IFERROR(IF(Mass_Data[[#This Row],[Check (1)]]="YES",Mass_Data[[#This Row],[MDL axle group 4 mass]],Mass_Data[[#This Row],[MDL axle group 4 mass]]-(Mass_Data[[#This Row],[Difference between MDL and GCM]]*(Mass_Data[[#This Row],[MDL axle group 4 mass]]/Mass_Data[[#This Row],[Total (1)]]))),"")</f>
        <v>17</v>
      </c>
      <c r="AG20" s="22" t="str">
        <f>IFERROR(IF(Mass_Data[[#This Row],[Check (1)]]="YES",Mass_Data[[#This Row],[MDL axle group 5 mass]],Mass_Data[[#This Row],[MDL axle group 5 mass]]-(Mass_Data[[#This Row],[Difference between MDL and GCM]]*(Mass_Data[[#This Row],[MDL axle group 5 mass]]/Mass_Data[[#This Row],[Total (1)]]))),"")</f>
        <v/>
      </c>
      <c r="AH20" s="22" t="str">
        <f>IFERROR(IF(Mass_Data[[#This Row],[Check (1)]]="YES",Mass_Data[[#This Row],[MDL axle group 6 mass]],Mass_Data[[#This Row],[MDL axle group 6 mass]]-(Mass_Data[[#This Row],[Difference between MDL and GCM]]*(Mass_Data[[#This Row],[MDL axle group 6 mass]]/Mass_Data[[#This Row],[Total (1)]]))),"")</f>
        <v/>
      </c>
      <c r="AI20" s="22" t="str">
        <f>IFERROR(IF(Mass_Data[[#This Row],[Check (1)]]="YES",Mass_Data[[#This Row],[MDL axle group 7 mass]],Mass_Data[[#This Row],[MDL axle group 7 mass]]-(Mass_Data[[#This Row],[Difference between MDL and GCM]]*(Mass_Data[[#This Row],[MDL axle group 7 mass]]/Mass_Data[[#This Row],[Total (1)]]))),"")</f>
        <v/>
      </c>
      <c r="AJ20" s="81">
        <f>SUM(Mass_Data[[#This Row],[Corrected axle group 1 mass]:[Corrected axle group 7 mass]])</f>
        <v>54</v>
      </c>
      <c r="AK20">
        <f>Mass_Data[[#This Row],[Total (2)]]-Mass_Data[[#This Row],[GCM (t)]]</f>
        <v>0</v>
      </c>
      <c r="AL20" s="22" t="str">
        <f>IF(Mass_Data[[#This Row],[Difference between MDL and corrected axle masses]]=0,"YES","NO")</f>
        <v>YES</v>
      </c>
    </row>
    <row r="21" spans="3:38" x14ac:dyDescent="0.35">
      <c r="C21" s="10" t="str">
        <f t="shared" si="0"/>
        <v>PBS - 4-axle truck and 3-axle dog trailer (HML): 2</v>
      </c>
      <c r="D21" s="10" t="s">
        <v>213</v>
      </c>
      <c r="E21" s="10" t="s">
        <v>147</v>
      </c>
      <c r="F21" s="10" t="s">
        <v>7</v>
      </c>
      <c r="G21" s="10" t="s">
        <v>4</v>
      </c>
      <c r="H21" t="s">
        <v>117</v>
      </c>
      <c r="I21" s="9">
        <v>54</v>
      </c>
      <c r="J21" s="14">
        <v>34.627600265251992</v>
      </c>
      <c r="K21" s="14">
        <f>Mass_Data[[#This Row],[GCM (t)]]-Mass_Data[[#This Row],[Payload (t)]]</f>
        <v>19.372399734748008</v>
      </c>
      <c r="L21" t="s">
        <v>40</v>
      </c>
      <c r="M21" t="s">
        <v>9</v>
      </c>
      <c r="N21" t="s">
        <v>24</v>
      </c>
      <c r="O21" t="s">
        <v>30</v>
      </c>
      <c r="P21">
        <v>0</v>
      </c>
      <c r="R21">
        <v>0</v>
      </c>
      <c r="S21" cm="1">
        <f t="array" ref="S21">_xlfn.XLOOKUP(Mass_Data[[#This Row],[axle group 1]]&amp;Mass_Data[[#This Row],[Mass Scheme]],Axle_Data[Axle Code]&amp;Axle_Data[Mass Scheme],Axle_Data[MDL Maximum Mass (t)],"",0)</f>
        <v>11</v>
      </c>
      <c r="T21" cm="1">
        <f t="array" ref="T21">_xlfn.XLOOKUP(Mass_Data[[#This Row],[axle group 2]]&amp;Mass_Data[[#This Row],[Mass Scheme]],Axle_Data[Axle Code]&amp;Axle_Data[Mass Scheme],Axle_Data[MDL Maximum Mass (t)],"",0)</f>
        <v>17</v>
      </c>
      <c r="U21" cm="1">
        <f t="array" ref="U21">_xlfn.XLOOKUP(Mass_Data[[#This Row],[axle group 3]]&amp;Mass_Data[[#This Row],[Mass Scheme]],Axle_Data[Axle Code]&amp;Axle_Data[Mass Scheme],Axle_Data[MDL Maximum Mass (t)],"",0)</f>
        <v>9</v>
      </c>
      <c r="V21" cm="1">
        <f t="array" ref="V21">_xlfn.XLOOKUP(Mass_Data[[#This Row],[axle group 4]]&amp;Mass_Data[[#This Row],[Mass Scheme]],Axle_Data[Axle Code]&amp;Axle_Data[Mass Scheme],Axle_Data[MDL Maximum Mass (t)],"",0)</f>
        <v>17</v>
      </c>
      <c r="W21" t="str" cm="1">
        <f t="array" ref="W21">_xlfn.XLOOKUP(Mass_Data[[#This Row],[axle group 5]]&amp;Mass_Data[[#This Row],[Mass Scheme]],Axle_Data[Axle Code]&amp;Axle_Data[Mass Scheme],Axle_Data[MDL Maximum Mass (t)],"",0)</f>
        <v/>
      </c>
      <c r="X21" t="str" cm="1">
        <f t="array" ref="X21">_xlfn.XLOOKUP(Mass_Data[[#This Row],[axle group 6]]&amp;Mass_Data[[#This Row],[Mass Scheme]],Axle_Data[Axle Code]&amp;Axle_Data[Mass Scheme],Axle_Data[MDL Maximum Mass (t)],"",0)</f>
        <v/>
      </c>
      <c r="Y21" t="str" cm="1">
        <f t="array" ref="Y21">_xlfn.XLOOKUP(Mass_Data[[#This Row],[axle group 7]]&amp;Mass_Data[[#This Row],[Mass Scheme]],Axle_Data[Axle Code]&amp;Axle_Data[Mass Scheme],Axle_Data[MDL Maximum Mass (t)],"",0)</f>
        <v/>
      </c>
      <c r="Z21" s="81">
        <f>SUM(Mass_Data[[#This Row],[MDL axle group 1 mass]:[MDL axle group 7 mass]])</f>
        <v>54</v>
      </c>
      <c r="AA21">
        <f>Mass_Data[[#This Row],[Total (1)]]-Mass_Data[[#This Row],[GCM (t)]]</f>
        <v>0</v>
      </c>
      <c r="AB21" t="str">
        <f>IF(Mass_Data[[#This Row],[Difference between MDL and GCM]]=0,"YES","NO")</f>
        <v>YES</v>
      </c>
      <c r="AC21" s="22">
        <f>IFERROR(IF(Mass_Data[[#This Row],[Check (1)]]="YES",Mass_Data[[#This Row],[MDL axle group 1 mass]],Mass_Data[[#This Row],[MDL axle group 1 mass]]-(Mass_Data[[#This Row],[Difference between MDL and GCM]]*(Mass_Data[[#This Row],[MDL axle group 1 mass]]/Mass_Data[[#This Row],[Total (1)]]))),"")</f>
        <v>11</v>
      </c>
      <c r="AD21" s="22">
        <f>IFERROR(IF(Mass_Data[[#This Row],[Check (1)]]="YES",Mass_Data[[#This Row],[MDL axle group 2 mass]],Mass_Data[[#This Row],[MDL axle group 2 mass]]-(Mass_Data[[#This Row],[Difference between MDL and GCM]]*(Mass_Data[[#This Row],[MDL axle group 2 mass]]/Mass_Data[[#This Row],[Total (1)]]))),"")</f>
        <v>17</v>
      </c>
      <c r="AE21" s="22">
        <f>IFERROR(IF(Mass_Data[[#This Row],[Check (1)]]="YES",Mass_Data[[#This Row],[MDL axle group 3 mass]],Mass_Data[[#This Row],[MDL axle group 3 mass]]-(Mass_Data[[#This Row],[Difference between MDL and GCM]]*(Mass_Data[[#This Row],[MDL axle group 3 mass]]/Mass_Data[[#This Row],[Total (1)]]))),"")</f>
        <v>9</v>
      </c>
      <c r="AF21" s="22">
        <f>IFERROR(IF(Mass_Data[[#This Row],[Check (1)]]="YES",Mass_Data[[#This Row],[MDL axle group 4 mass]],Mass_Data[[#This Row],[MDL axle group 4 mass]]-(Mass_Data[[#This Row],[Difference between MDL and GCM]]*(Mass_Data[[#This Row],[MDL axle group 4 mass]]/Mass_Data[[#This Row],[Total (1)]]))),"")</f>
        <v>17</v>
      </c>
      <c r="AG21" s="22" t="str">
        <f>IFERROR(IF(Mass_Data[[#This Row],[Check (1)]]="YES",Mass_Data[[#This Row],[MDL axle group 5 mass]],Mass_Data[[#This Row],[MDL axle group 5 mass]]-(Mass_Data[[#This Row],[Difference between MDL and GCM]]*(Mass_Data[[#This Row],[MDL axle group 5 mass]]/Mass_Data[[#This Row],[Total (1)]]))),"")</f>
        <v/>
      </c>
      <c r="AH21" s="22" t="str">
        <f>IFERROR(IF(Mass_Data[[#This Row],[Check (1)]]="YES",Mass_Data[[#This Row],[MDL axle group 6 mass]],Mass_Data[[#This Row],[MDL axle group 6 mass]]-(Mass_Data[[#This Row],[Difference between MDL and GCM]]*(Mass_Data[[#This Row],[MDL axle group 6 mass]]/Mass_Data[[#This Row],[Total (1)]]))),"")</f>
        <v/>
      </c>
      <c r="AI21" s="22" t="str">
        <f>IFERROR(IF(Mass_Data[[#This Row],[Check (1)]]="YES",Mass_Data[[#This Row],[MDL axle group 7 mass]],Mass_Data[[#This Row],[MDL axle group 7 mass]]-(Mass_Data[[#This Row],[Difference between MDL and GCM]]*(Mass_Data[[#This Row],[MDL axle group 7 mass]]/Mass_Data[[#This Row],[Total (1)]]))),"")</f>
        <v/>
      </c>
      <c r="AJ21" s="81">
        <f>SUM(Mass_Data[[#This Row],[Corrected axle group 1 mass]:[Corrected axle group 7 mass]])</f>
        <v>54</v>
      </c>
      <c r="AK21">
        <f>Mass_Data[[#This Row],[Total (2)]]-Mass_Data[[#This Row],[GCM (t)]]</f>
        <v>0</v>
      </c>
      <c r="AL21" s="22" t="str">
        <f>IF(Mass_Data[[#This Row],[Difference between MDL and corrected axle masses]]=0,"YES","NO")</f>
        <v>YES</v>
      </c>
    </row>
    <row r="22" spans="3:38" x14ac:dyDescent="0.35">
      <c r="C22" s="10" t="str">
        <f t="shared" si="0"/>
        <v>PBS - 4-axle truck and 4-axle dog trailer (GML): 1</v>
      </c>
      <c r="D22" s="10" t="s">
        <v>211</v>
      </c>
      <c r="E22" s="10" t="s">
        <v>147</v>
      </c>
      <c r="F22" s="10" t="s">
        <v>18</v>
      </c>
      <c r="G22" s="10" t="s">
        <v>3</v>
      </c>
      <c r="H22" t="s">
        <v>61</v>
      </c>
      <c r="I22" s="9">
        <v>50</v>
      </c>
      <c r="J22" s="14">
        <v>28.859815384615381</v>
      </c>
      <c r="K22" s="14">
        <f>Mass_Data[[#This Row],[GCM (t)]]-Mass_Data[[#This Row],[Payload (t)]]</f>
        <v>21.140184615384619</v>
      </c>
      <c r="L22" t="s">
        <v>40</v>
      </c>
      <c r="M22" t="s">
        <v>9</v>
      </c>
      <c r="N22" t="s">
        <v>30</v>
      </c>
      <c r="O22" t="s">
        <v>30</v>
      </c>
      <c r="P22">
        <v>0</v>
      </c>
      <c r="R22">
        <v>0</v>
      </c>
      <c r="S22" cm="1">
        <f t="array" ref="S22">_xlfn.XLOOKUP(Mass_Data[[#This Row],[axle group 1]]&amp;Mass_Data[[#This Row],[Mass Scheme]],Axle_Data[Axle Code]&amp;Axle_Data[Mass Scheme],Axle_Data[MDL Maximum Mass (t)],"",0)</f>
        <v>11</v>
      </c>
      <c r="T22" cm="1">
        <f t="array" ref="T22">_xlfn.XLOOKUP(Mass_Data[[#This Row],[axle group 2]]&amp;Mass_Data[[#This Row],[Mass Scheme]],Axle_Data[Axle Code]&amp;Axle_Data[Mass Scheme],Axle_Data[MDL Maximum Mass (t)],"",0)</f>
        <v>16.5</v>
      </c>
      <c r="U22" cm="1">
        <f t="array" ref="U22">_xlfn.XLOOKUP(Mass_Data[[#This Row],[axle group 3]]&amp;Mass_Data[[#This Row],[Mass Scheme]],Axle_Data[Axle Code]&amp;Axle_Data[Mass Scheme],Axle_Data[MDL Maximum Mass (t)],"",0)</f>
        <v>16.5</v>
      </c>
      <c r="V22" cm="1">
        <f t="array" ref="V22">_xlfn.XLOOKUP(Mass_Data[[#This Row],[axle group 4]]&amp;Mass_Data[[#This Row],[Mass Scheme]],Axle_Data[Axle Code]&amp;Axle_Data[Mass Scheme],Axle_Data[MDL Maximum Mass (t)],"",0)</f>
        <v>16.5</v>
      </c>
      <c r="W22" t="str" cm="1">
        <f t="array" ref="W22">_xlfn.XLOOKUP(Mass_Data[[#This Row],[axle group 5]]&amp;Mass_Data[[#This Row],[Mass Scheme]],Axle_Data[Axle Code]&amp;Axle_Data[Mass Scheme],Axle_Data[MDL Maximum Mass (t)],"",0)</f>
        <v/>
      </c>
      <c r="X22" t="str" cm="1">
        <f t="array" ref="X22">_xlfn.XLOOKUP(Mass_Data[[#This Row],[axle group 6]]&amp;Mass_Data[[#This Row],[Mass Scheme]],Axle_Data[Axle Code]&amp;Axle_Data[Mass Scheme],Axle_Data[MDL Maximum Mass (t)],"",0)</f>
        <v/>
      </c>
      <c r="Y22" t="str" cm="1">
        <f t="array" ref="Y22">_xlfn.XLOOKUP(Mass_Data[[#This Row],[axle group 7]]&amp;Mass_Data[[#This Row],[Mass Scheme]],Axle_Data[Axle Code]&amp;Axle_Data[Mass Scheme],Axle_Data[MDL Maximum Mass (t)],"",0)</f>
        <v/>
      </c>
      <c r="Z22" s="81">
        <f>SUM(Mass_Data[[#This Row],[MDL axle group 1 mass]:[MDL axle group 7 mass]])</f>
        <v>60.5</v>
      </c>
      <c r="AA22">
        <f>Mass_Data[[#This Row],[Total (1)]]-Mass_Data[[#This Row],[GCM (t)]]</f>
        <v>10.5</v>
      </c>
      <c r="AB22" t="str">
        <f>IF(Mass_Data[[#This Row],[Difference between MDL and GCM]]=0,"YES","NO")</f>
        <v>NO</v>
      </c>
      <c r="AC22" s="22">
        <f>IFERROR(IF(Mass_Data[[#This Row],[Check (1)]]="YES",Mass_Data[[#This Row],[MDL axle group 1 mass]],Mass_Data[[#This Row],[MDL axle group 1 mass]]-(Mass_Data[[#This Row],[Difference between MDL and GCM]]*(Mass_Data[[#This Row],[MDL axle group 1 mass]]/Mass_Data[[#This Row],[Total (1)]]))),"")</f>
        <v>9.0909090909090899</v>
      </c>
      <c r="AD22" s="22">
        <f>IFERROR(IF(Mass_Data[[#This Row],[Check (1)]]="YES",Mass_Data[[#This Row],[MDL axle group 2 mass]],Mass_Data[[#This Row],[MDL axle group 2 mass]]-(Mass_Data[[#This Row],[Difference between MDL and GCM]]*(Mass_Data[[#This Row],[MDL axle group 2 mass]]/Mass_Data[[#This Row],[Total (1)]]))),"")</f>
        <v>13.636363636363637</v>
      </c>
      <c r="AE22" s="22">
        <f>IFERROR(IF(Mass_Data[[#This Row],[Check (1)]]="YES",Mass_Data[[#This Row],[MDL axle group 3 mass]],Mass_Data[[#This Row],[MDL axle group 3 mass]]-(Mass_Data[[#This Row],[Difference between MDL and GCM]]*(Mass_Data[[#This Row],[MDL axle group 3 mass]]/Mass_Data[[#This Row],[Total (1)]]))),"")</f>
        <v>13.636363636363637</v>
      </c>
      <c r="AF22" s="22">
        <f>IFERROR(IF(Mass_Data[[#This Row],[Check (1)]]="YES",Mass_Data[[#This Row],[MDL axle group 4 mass]],Mass_Data[[#This Row],[MDL axle group 4 mass]]-(Mass_Data[[#This Row],[Difference between MDL and GCM]]*(Mass_Data[[#This Row],[MDL axle group 4 mass]]/Mass_Data[[#This Row],[Total (1)]]))),"")</f>
        <v>13.636363636363637</v>
      </c>
      <c r="AG22" s="22" t="str">
        <f>IFERROR(IF(Mass_Data[[#This Row],[Check (1)]]="YES",Mass_Data[[#This Row],[MDL axle group 5 mass]],Mass_Data[[#This Row],[MDL axle group 5 mass]]-(Mass_Data[[#This Row],[Difference between MDL and GCM]]*(Mass_Data[[#This Row],[MDL axle group 5 mass]]/Mass_Data[[#This Row],[Total (1)]]))),"")</f>
        <v/>
      </c>
      <c r="AH22" s="22" t="str">
        <f>IFERROR(IF(Mass_Data[[#This Row],[Check (1)]]="YES",Mass_Data[[#This Row],[MDL axle group 6 mass]],Mass_Data[[#This Row],[MDL axle group 6 mass]]-(Mass_Data[[#This Row],[Difference between MDL and GCM]]*(Mass_Data[[#This Row],[MDL axle group 6 mass]]/Mass_Data[[#This Row],[Total (1)]]))),"")</f>
        <v/>
      </c>
      <c r="AI22" s="22" t="str">
        <f>IFERROR(IF(Mass_Data[[#This Row],[Check (1)]]="YES",Mass_Data[[#This Row],[MDL axle group 7 mass]],Mass_Data[[#This Row],[MDL axle group 7 mass]]-(Mass_Data[[#This Row],[Difference between MDL and GCM]]*(Mass_Data[[#This Row],[MDL axle group 7 mass]]/Mass_Data[[#This Row],[Total (1)]]))),"")</f>
        <v/>
      </c>
      <c r="AJ22" s="81">
        <f>SUM(Mass_Data[[#This Row],[Corrected axle group 1 mass]:[Corrected axle group 7 mass]])</f>
        <v>50</v>
      </c>
      <c r="AK22">
        <f>Mass_Data[[#This Row],[Total (2)]]-Mass_Data[[#This Row],[GCM (t)]]</f>
        <v>0</v>
      </c>
      <c r="AL22" s="22" t="str">
        <f>IF(Mass_Data[[#This Row],[Difference between MDL and corrected axle masses]]=0,"YES","NO")</f>
        <v>YES</v>
      </c>
    </row>
    <row r="23" spans="3:38" x14ac:dyDescent="0.35">
      <c r="C23" s="10" t="str">
        <f t="shared" si="0"/>
        <v>PBS - 4-axle truck and 4-axle dog trailer (GML): 2</v>
      </c>
      <c r="D23" s="10" t="s">
        <v>211</v>
      </c>
      <c r="E23" s="10" t="s">
        <v>147</v>
      </c>
      <c r="F23" s="10" t="s">
        <v>18</v>
      </c>
      <c r="G23" s="10" t="s">
        <v>4</v>
      </c>
      <c r="H23" t="s">
        <v>61</v>
      </c>
      <c r="I23" s="9">
        <v>60.5</v>
      </c>
      <c r="J23" s="14">
        <v>39.359815384615381</v>
      </c>
      <c r="K23" s="14">
        <f>Mass_Data[[#This Row],[GCM (t)]]-Mass_Data[[#This Row],[Payload (t)]]</f>
        <v>21.140184615384619</v>
      </c>
      <c r="L23" t="s">
        <v>40</v>
      </c>
      <c r="M23" t="s">
        <v>9</v>
      </c>
      <c r="N23" t="s">
        <v>30</v>
      </c>
      <c r="O23" t="s">
        <v>30</v>
      </c>
      <c r="P23">
        <v>0</v>
      </c>
      <c r="R23">
        <v>0</v>
      </c>
      <c r="S23" cm="1">
        <f t="array" ref="S23">_xlfn.XLOOKUP(Mass_Data[[#This Row],[axle group 1]]&amp;Mass_Data[[#This Row],[Mass Scheme]],Axle_Data[Axle Code]&amp;Axle_Data[Mass Scheme],Axle_Data[MDL Maximum Mass (t)],"",0)</f>
        <v>11</v>
      </c>
      <c r="T23" cm="1">
        <f t="array" ref="T23">_xlfn.XLOOKUP(Mass_Data[[#This Row],[axle group 2]]&amp;Mass_Data[[#This Row],[Mass Scheme]],Axle_Data[Axle Code]&amp;Axle_Data[Mass Scheme],Axle_Data[MDL Maximum Mass (t)],"",0)</f>
        <v>16.5</v>
      </c>
      <c r="U23" cm="1">
        <f t="array" ref="U23">_xlfn.XLOOKUP(Mass_Data[[#This Row],[axle group 3]]&amp;Mass_Data[[#This Row],[Mass Scheme]],Axle_Data[Axle Code]&amp;Axle_Data[Mass Scheme],Axle_Data[MDL Maximum Mass (t)],"",0)</f>
        <v>16.5</v>
      </c>
      <c r="V23" cm="1">
        <f t="array" ref="V23">_xlfn.XLOOKUP(Mass_Data[[#This Row],[axle group 4]]&amp;Mass_Data[[#This Row],[Mass Scheme]],Axle_Data[Axle Code]&amp;Axle_Data[Mass Scheme],Axle_Data[MDL Maximum Mass (t)],"",0)</f>
        <v>16.5</v>
      </c>
      <c r="W23" t="str" cm="1">
        <f t="array" ref="W23">_xlfn.XLOOKUP(Mass_Data[[#This Row],[axle group 5]]&amp;Mass_Data[[#This Row],[Mass Scheme]],Axle_Data[Axle Code]&amp;Axle_Data[Mass Scheme],Axle_Data[MDL Maximum Mass (t)],"",0)</f>
        <v/>
      </c>
      <c r="X23" t="str" cm="1">
        <f t="array" ref="X23">_xlfn.XLOOKUP(Mass_Data[[#This Row],[axle group 6]]&amp;Mass_Data[[#This Row],[Mass Scheme]],Axle_Data[Axle Code]&amp;Axle_Data[Mass Scheme],Axle_Data[MDL Maximum Mass (t)],"",0)</f>
        <v/>
      </c>
      <c r="Y23" t="str" cm="1">
        <f t="array" ref="Y23">_xlfn.XLOOKUP(Mass_Data[[#This Row],[axle group 7]]&amp;Mass_Data[[#This Row],[Mass Scheme]],Axle_Data[Axle Code]&amp;Axle_Data[Mass Scheme],Axle_Data[MDL Maximum Mass (t)],"",0)</f>
        <v/>
      </c>
      <c r="Z23" s="81">
        <f>SUM(Mass_Data[[#This Row],[MDL axle group 1 mass]:[MDL axle group 7 mass]])</f>
        <v>60.5</v>
      </c>
      <c r="AA23">
        <f>Mass_Data[[#This Row],[Total (1)]]-Mass_Data[[#This Row],[GCM (t)]]</f>
        <v>0</v>
      </c>
      <c r="AB23" t="str">
        <f>IF(Mass_Data[[#This Row],[Difference between MDL and GCM]]=0,"YES","NO")</f>
        <v>YES</v>
      </c>
      <c r="AC23" s="22">
        <f>IFERROR(IF(Mass_Data[[#This Row],[Check (1)]]="YES",Mass_Data[[#This Row],[MDL axle group 1 mass]],Mass_Data[[#This Row],[MDL axle group 1 mass]]-(Mass_Data[[#This Row],[Difference between MDL and GCM]]*(Mass_Data[[#This Row],[MDL axle group 1 mass]]/Mass_Data[[#This Row],[Total (1)]]))),"")</f>
        <v>11</v>
      </c>
      <c r="AD23" s="22">
        <f>IFERROR(IF(Mass_Data[[#This Row],[Check (1)]]="YES",Mass_Data[[#This Row],[MDL axle group 2 mass]],Mass_Data[[#This Row],[MDL axle group 2 mass]]-(Mass_Data[[#This Row],[Difference between MDL and GCM]]*(Mass_Data[[#This Row],[MDL axle group 2 mass]]/Mass_Data[[#This Row],[Total (1)]]))),"")</f>
        <v>16.5</v>
      </c>
      <c r="AE23" s="22">
        <f>IFERROR(IF(Mass_Data[[#This Row],[Check (1)]]="YES",Mass_Data[[#This Row],[MDL axle group 3 mass]],Mass_Data[[#This Row],[MDL axle group 3 mass]]-(Mass_Data[[#This Row],[Difference between MDL and GCM]]*(Mass_Data[[#This Row],[MDL axle group 3 mass]]/Mass_Data[[#This Row],[Total (1)]]))),"")</f>
        <v>16.5</v>
      </c>
      <c r="AF23" s="22">
        <f>IFERROR(IF(Mass_Data[[#This Row],[Check (1)]]="YES",Mass_Data[[#This Row],[MDL axle group 4 mass]],Mass_Data[[#This Row],[MDL axle group 4 mass]]-(Mass_Data[[#This Row],[Difference between MDL and GCM]]*(Mass_Data[[#This Row],[MDL axle group 4 mass]]/Mass_Data[[#This Row],[Total (1)]]))),"")</f>
        <v>16.5</v>
      </c>
      <c r="AG23" s="22" t="str">
        <f>IFERROR(IF(Mass_Data[[#This Row],[Check (1)]]="YES",Mass_Data[[#This Row],[MDL axle group 5 mass]],Mass_Data[[#This Row],[MDL axle group 5 mass]]-(Mass_Data[[#This Row],[Difference between MDL and GCM]]*(Mass_Data[[#This Row],[MDL axle group 5 mass]]/Mass_Data[[#This Row],[Total (1)]]))),"")</f>
        <v/>
      </c>
      <c r="AH23" s="22" t="str">
        <f>IFERROR(IF(Mass_Data[[#This Row],[Check (1)]]="YES",Mass_Data[[#This Row],[MDL axle group 6 mass]],Mass_Data[[#This Row],[MDL axle group 6 mass]]-(Mass_Data[[#This Row],[Difference between MDL and GCM]]*(Mass_Data[[#This Row],[MDL axle group 6 mass]]/Mass_Data[[#This Row],[Total (1)]]))),"")</f>
        <v/>
      </c>
      <c r="AI23" s="22" t="str">
        <f>IFERROR(IF(Mass_Data[[#This Row],[Check (1)]]="YES",Mass_Data[[#This Row],[MDL axle group 7 mass]],Mass_Data[[#This Row],[MDL axle group 7 mass]]-(Mass_Data[[#This Row],[Difference between MDL and GCM]]*(Mass_Data[[#This Row],[MDL axle group 7 mass]]/Mass_Data[[#This Row],[Total (1)]]))),"")</f>
        <v/>
      </c>
      <c r="AJ23" s="81">
        <f>SUM(Mass_Data[[#This Row],[Corrected axle group 1 mass]:[Corrected axle group 7 mass]])</f>
        <v>60.5</v>
      </c>
      <c r="AK23">
        <f>Mass_Data[[#This Row],[Total (2)]]-Mass_Data[[#This Row],[GCM (t)]]</f>
        <v>0</v>
      </c>
      <c r="AL23" s="22" t="str">
        <f>IF(Mass_Data[[#This Row],[Difference between MDL and corrected axle masses]]=0,"YES","NO")</f>
        <v>YES</v>
      </c>
    </row>
    <row r="24" spans="3:38" x14ac:dyDescent="0.35">
      <c r="C24" s="10" t="str">
        <f t="shared" si="0"/>
        <v>PBS - 4-axle truck and 4-axle dog trailer (CML): 2</v>
      </c>
      <c r="D24" s="10" t="s">
        <v>211</v>
      </c>
      <c r="E24" s="10" t="s">
        <v>147</v>
      </c>
      <c r="F24" s="10" t="s">
        <v>20</v>
      </c>
      <c r="G24" s="10" t="s">
        <v>4</v>
      </c>
      <c r="H24" t="s">
        <v>61</v>
      </c>
      <c r="I24" s="9">
        <v>62</v>
      </c>
      <c r="J24" s="14">
        <v>40.859815384615381</v>
      </c>
      <c r="K24" s="14">
        <f>Mass_Data[[#This Row],[GCM (t)]]-Mass_Data[[#This Row],[Payload (t)]]</f>
        <v>21.140184615384619</v>
      </c>
      <c r="L24" t="s">
        <v>40</v>
      </c>
      <c r="M24" t="s">
        <v>9</v>
      </c>
      <c r="N24" t="s">
        <v>30</v>
      </c>
      <c r="O24" t="s">
        <v>30</v>
      </c>
      <c r="P24">
        <v>0</v>
      </c>
      <c r="R24">
        <v>0</v>
      </c>
      <c r="S24" cm="1">
        <f t="array" ref="S24">_xlfn.XLOOKUP(Mass_Data[[#This Row],[axle group 1]]&amp;Mass_Data[[#This Row],[Mass Scheme]],Axle_Data[Axle Code]&amp;Axle_Data[Mass Scheme],Axle_Data[MDL Maximum Mass (t)],"",0)</f>
        <v>11</v>
      </c>
      <c r="T24" cm="1">
        <f t="array" ref="T24">_xlfn.XLOOKUP(Mass_Data[[#This Row],[axle group 2]]&amp;Mass_Data[[#This Row],[Mass Scheme]],Axle_Data[Axle Code]&amp;Axle_Data[Mass Scheme],Axle_Data[MDL Maximum Mass (t)],"",0)</f>
        <v>17</v>
      </c>
      <c r="U24" cm="1">
        <f t="array" ref="U24">_xlfn.XLOOKUP(Mass_Data[[#This Row],[axle group 3]]&amp;Mass_Data[[#This Row],[Mass Scheme]],Axle_Data[Axle Code]&amp;Axle_Data[Mass Scheme],Axle_Data[MDL Maximum Mass (t)],"",0)</f>
        <v>17</v>
      </c>
      <c r="V24" cm="1">
        <f t="array" ref="V24">_xlfn.XLOOKUP(Mass_Data[[#This Row],[axle group 4]]&amp;Mass_Data[[#This Row],[Mass Scheme]],Axle_Data[Axle Code]&amp;Axle_Data[Mass Scheme],Axle_Data[MDL Maximum Mass (t)],"",0)</f>
        <v>17</v>
      </c>
      <c r="W24" t="str" cm="1">
        <f t="array" ref="W24">_xlfn.XLOOKUP(Mass_Data[[#This Row],[axle group 5]]&amp;Mass_Data[[#This Row],[Mass Scheme]],Axle_Data[Axle Code]&amp;Axle_Data[Mass Scheme],Axle_Data[MDL Maximum Mass (t)],"",0)</f>
        <v/>
      </c>
      <c r="X24" t="str" cm="1">
        <f t="array" ref="X24">_xlfn.XLOOKUP(Mass_Data[[#This Row],[axle group 6]]&amp;Mass_Data[[#This Row],[Mass Scheme]],Axle_Data[Axle Code]&amp;Axle_Data[Mass Scheme],Axle_Data[MDL Maximum Mass (t)],"",0)</f>
        <v/>
      </c>
      <c r="Y24" t="str" cm="1">
        <f t="array" ref="Y24">_xlfn.XLOOKUP(Mass_Data[[#This Row],[axle group 7]]&amp;Mass_Data[[#This Row],[Mass Scheme]],Axle_Data[Axle Code]&amp;Axle_Data[Mass Scheme],Axle_Data[MDL Maximum Mass (t)],"",0)</f>
        <v/>
      </c>
      <c r="Z24" s="81">
        <f>SUM(Mass_Data[[#This Row],[MDL axle group 1 mass]:[MDL axle group 7 mass]])</f>
        <v>62</v>
      </c>
      <c r="AA24">
        <f>Mass_Data[[#This Row],[Total (1)]]-Mass_Data[[#This Row],[GCM (t)]]</f>
        <v>0</v>
      </c>
      <c r="AB24" t="str">
        <f>IF(Mass_Data[[#This Row],[Difference between MDL and GCM]]=0,"YES","NO")</f>
        <v>YES</v>
      </c>
      <c r="AC24" s="22">
        <f>IFERROR(IF(Mass_Data[[#This Row],[Check (1)]]="YES",Mass_Data[[#This Row],[MDL axle group 1 mass]],Mass_Data[[#This Row],[MDL axle group 1 mass]]-(Mass_Data[[#This Row],[Difference between MDL and GCM]]*(Mass_Data[[#This Row],[MDL axle group 1 mass]]/Mass_Data[[#This Row],[Total (1)]]))),"")</f>
        <v>11</v>
      </c>
      <c r="AD24" s="22">
        <f>IFERROR(IF(Mass_Data[[#This Row],[Check (1)]]="YES",Mass_Data[[#This Row],[MDL axle group 2 mass]],Mass_Data[[#This Row],[MDL axle group 2 mass]]-(Mass_Data[[#This Row],[Difference between MDL and GCM]]*(Mass_Data[[#This Row],[MDL axle group 2 mass]]/Mass_Data[[#This Row],[Total (1)]]))),"")</f>
        <v>17</v>
      </c>
      <c r="AE24" s="22">
        <f>IFERROR(IF(Mass_Data[[#This Row],[Check (1)]]="YES",Mass_Data[[#This Row],[MDL axle group 3 mass]],Mass_Data[[#This Row],[MDL axle group 3 mass]]-(Mass_Data[[#This Row],[Difference between MDL and GCM]]*(Mass_Data[[#This Row],[MDL axle group 3 mass]]/Mass_Data[[#This Row],[Total (1)]]))),"")</f>
        <v>17</v>
      </c>
      <c r="AF24" s="22">
        <f>IFERROR(IF(Mass_Data[[#This Row],[Check (1)]]="YES",Mass_Data[[#This Row],[MDL axle group 4 mass]],Mass_Data[[#This Row],[MDL axle group 4 mass]]-(Mass_Data[[#This Row],[Difference between MDL and GCM]]*(Mass_Data[[#This Row],[MDL axle group 4 mass]]/Mass_Data[[#This Row],[Total (1)]]))),"")</f>
        <v>17</v>
      </c>
      <c r="AG24" s="22" t="str">
        <f>IFERROR(IF(Mass_Data[[#This Row],[Check (1)]]="YES",Mass_Data[[#This Row],[MDL axle group 5 mass]],Mass_Data[[#This Row],[MDL axle group 5 mass]]-(Mass_Data[[#This Row],[Difference between MDL and GCM]]*(Mass_Data[[#This Row],[MDL axle group 5 mass]]/Mass_Data[[#This Row],[Total (1)]]))),"")</f>
        <v/>
      </c>
      <c r="AH24" s="22" t="str">
        <f>IFERROR(IF(Mass_Data[[#This Row],[Check (1)]]="YES",Mass_Data[[#This Row],[MDL axle group 6 mass]],Mass_Data[[#This Row],[MDL axle group 6 mass]]-(Mass_Data[[#This Row],[Difference between MDL and GCM]]*(Mass_Data[[#This Row],[MDL axle group 6 mass]]/Mass_Data[[#This Row],[Total (1)]]))),"")</f>
        <v/>
      </c>
      <c r="AI24" s="22" t="str">
        <f>IFERROR(IF(Mass_Data[[#This Row],[Check (1)]]="YES",Mass_Data[[#This Row],[MDL axle group 7 mass]],Mass_Data[[#This Row],[MDL axle group 7 mass]]-(Mass_Data[[#This Row],[Difference between MDL and GCM]]*(Mass_Data[[#This Row],[MDL axle group 7 mass]]/Mass_Data[[#This Row],[Total (1)]]))),"")</f>
        <v/>
      </c>
      <c r="AJ24" s="81">
        <f>SUM(Mass_Data[[#This Row],[Corrected axle group 1 mass]:[Corrected axle group 7 mass]])</f>
        <v>62</v>
      </c>
      <c r="AK24">
        <f>Mass_Data[[#This Row],[Total (2)]]-Mass_Data[[#This Row],[GCM (t)]]</f>
        <v>0</v>
      </c>
      <c r="AL24" s="22" t="str">
        <f>IF(Mass_Data[[#This Row],[Difference between MDL and corrected axle masses]]=0,"YES","NO")</f>
        <v>YES</v>
      </c>
    </row>
    <row r="25" spans="3:38" x14ac:dyDescent="0.35">
      <c r="C25" s="10" t="str">
        <f t="shared" si="0"/>
        <v>PBS - 4-axle truck and 4-axle dog trailer (HML): 2</v>
      </c>
      <c r="D25" s="10" t="s">
        <v>211</v>
      </c>
      <c r="E25" s="10" t="s">
        <v>147</v>
      </c>
      <c r="F25" s="10" t="s">
        <v>7</v>
      </c>
      <c r="G25" s="10" t="s">
        <v>4</v>
      </c>
      <c r="H25" t="s">
        <v>61</v>
      </c>
      <c r="I25" s="9">
        <v>62</v>
      </c>
      <c r="J25" s="14">
        <v>40.859815384615381</v>
      </c>
      <c r="K25" s="14">
        <f>Mass_Data[[#This Row],[GCM (t)]]-Mass_Data[[#This Row],[Payload (t)]]</f>
        <v>21.140184615384619</v>
      </c>
      <c r="L25" t="s">
        <v>40</v>
      </c>
      <c r="M25" t="s">
        <v>9</v>
      </c>
      <c r="N25" t="s">
        <v>30</v>
      </c>
      <c r="O25" t="s">
        <v>30</v>
      </c>
      <c r="P25">
        <v>0</v>
      </c>
      <c r="R25">
        <v>0</v>
      </c>
      <c r="S25" cm="1">
        <f t="array" ref="S25">_xlfn.XLOOKUP(Mass_Data[[#This Row],[axle group 1]]&amp;Mass_Data[[#This Row],[Mass Scheme]],Axle_Data[Axle Code]&amp;Axle_Data[Mass Scheme],Axle_Data[MDL Maximum Mass (t)],"",0)</f>
        <v>11</v>
      </c>
      <c r="T25" cm="1">
        <f t="array" ref="T25">_xlfn.XLOOKUP(Mass_Data[[#This Row],[axle group 2]]&amp;Mass_Data[[#This Row],[Mass Scheme]],Axle_Data[Axle Code]&amp;Axle_Data[Mass Scheme],Axle_Data[MDL Maximum Mass (t)],"",0)</f>
        <v>17</v>
      </c>
      <c r="U25" cm="1">
        <f t="array" ref="U25">_xlfn.XLOOKUP(Mass_Data[[#This Row],[axle group 3]]&amp;Mass_Data[[#This Row],[Mass Scheme]],Axle_Data[Axle Code]&amp;Axle_Data[Mass Scheme],Axle_Data[MDL Maximum Mass (t)],"",0)</f>
        <v>17</v>
      </c>
      <c r="V25" cm="1">
        <f t="array" ref="V25">_xlfn.XLOOKUP(Mass_Data[[#This Row],[axle group 4]]&amp;Mass_Data[[#This Row],[Mass Scheme]],Axle_Data[Axle Code]&amp;Axle_Data[Mass Scheme],Axle_Data[MDL Maximum Mass (t)],"",0)</f>
        <v>17</v>
      </c>
      <c r="W25" t="str" cm="1">
        <f t="array" ref="W25">_xlfn.XLOOKUP(Mass_Data[[#This Row],[axle group 5]]&amp;Mass_Data[[#This Row],[Mass Scheme]],Axle_Data[Axle Code]&amp;Axle_Data[Mass Scheme],Axle_Data[MDL Maximum Mass (t)],"",0)</f>
        <v/>
      </c>
      <c r="X25" t="str" cm="1">
        <f t="array" ref="X25">_xlfn.XLOOKUP(Mass_Data[[#This Row],[axle group 6]]&amp;Mass_Data[[#This Row],[Mass Scheme]],Axle_Data[Axle Code]&amp;Axle_Data[Mass Scheme],Axle_Data[MDL Maximum Mass (t)],"",0)</f>
        <v/>
      </c>
      <c r="Y25" t="str" cm="1">
        <f t="array" ref="Y25">_xlfn.XLOOKUP(Mass_Data[[#This Row],[axle group 7]]&amp;Mass_Data[[#This Row],[Mass Scheme]],Axle_Data[Axle Code]&amp;Axle_Data[Mass Scheme],Axle_Data[MDL Maximum Mass (t)],"",0)</f>
        <v/>
      </c>
      <c r="Z25" s="81">
        <f>SUM(Mass_Data[[#This Row],[MDL axle group 1 mass]:[MDL axle group 7 mass]])</f>
        <v>62</v>
      </c>
      <c r="AA25">
        <f>Mass_Data[[#This Row],[Total (1)]]-Mass_Data[[#This Row],[GCM (t)]]</f>
        <v>0</v>
      </c>
      <c r="AB25" t="str">
        <f>IF(Mass_Data[[#This Row],[Difference between MDL and GCM]]=0,"YES","NO")</f>
        <v>YES</v>
      </c>
      <c r="AC25" s="22">
        <f>IFERROR(IF(Mass_Data[[#This Row],[Check (1)]]="YES",Mass_Data[[#This Row],[MDL axle group 1 mass]],Mass_Data[[#This Row],[MDL axle group 1 mass]]-(Mass_Data[[#This Row],[Difference between MDL and GCM]]*(Mass_Data[[#This Row],[MDL axle group 1 mass]]/Mass_Data[[#This Row],[Total (1)]]))),"")</f>
        <v>11</v>
      </c>
      <c r="AD25" s="22">
        <f>IFERROR(IF(Mass_Data[[#This Row],[Check (1)]]="YES",Mass_Data[[#This Row],[MDL axle group 2 mass]],Mass_Data[[#This Row],[MDL axle group 2 mass]]-(Mass_Data[[#This Row],[Difference between MDL and GCM]]*(Mass_Data[[#This Row],[MDL axle group 2 mass]]/Mass_Data[[#This Row],[Total (1)]]))),"")</f>
        <v>17</v>
      </c>
      <c r="AE25" s="22">
        <f>IFERROR(IF(Mass_Data[[#This Row],[Check (1)]]="YES",Mass_Data[[#This Row],[MDL axle group 3 mass]],Mass_Data[[#This Row],[MDL axle group 3 mass]]-(Mass_Data[[#This Row],[Difference between MDL and GCM]]*(Mass_Data[[#This Row],[MDL axle group 3 mass]]/Mass_Data[[#This Row],[Total (1)]]))),"")</f>
        <v>17</v>
      </c>
      <c r="AF25" s="22">
        <f>IFERROR(IF(Mass_Data[[#This Row],[Check (1)]]="YES",Mass_Data[[#This Row],[MDL axle group 4 mass]],Mass_Data[[#This Row],[MDL axle group 4 mass]]-(Mass_Data[[#This Row],[Difference between MDL and GCM]]*(Mass_Data[[#This Row],[MDL axle group 4 mass]]/Mass_Data[[#This Row],[Total (1)]]))),"")</f>
        <v>17</v>
      </c>
      <c r="AG25" s="22" t="str">
        <f>IFERROR(IF(Mass_Data[[#This Row],[Check (1)]]="YES",Mass_Data[[#This Row],[MDL axle group 5 mass]],Mass_Data[[#This Row],[MDL axle group 5 mass]]-(Mass_Data[[#This Row],[Difference between MDL and GCM]]*(Mass_Data[[#This Row],[MDL axle group 5 mass]]/Mass_Data[[#This Row],[Total (1)]]))),"")</f>
        <v/>
      </c>
      <c r="AH25" s="22" t="str">
        <f>IFERROR(IF(Mass_Data[[#This Row],[Check (1)]]="YES",Mass_Data[[#This Row],[MDL axle group 6 mass]],Mass_Data[[#This Row],[MDL axle group 6 mass]]-(Mass_Data[[#This Row],[Difference between MDL and GCM]]*(Mass_Data[[#This Row],[MDL axle group 6 mass]]/Mass_Data[[#This Row],[Total (1)]]))),"")</f>
        <v/>
      </c>
      <c r="AI25" s="22" t="str">
        <f>IFERROR(IF(Mass_Data[[#This Row],[Check (1)]]="YES",Mass_Data[[#This Row],[MDL axle group 7 mass]],Mass_Data[[#This Row],[MDL axle group 7 mass]]-(Mass_Data[[#This Row],[Difference between MDL and GCM]]*(Mass_Data[[#This Row],[MDL axle group 7 mass]]/Mass_Data[[#This Row],[Total (1)]]))),"")</f>
        <v/>
      </c>
      <c r="AJ25" s="81">
        <f>SUM(Mass_Data[[#This Row],[Corrected axle group 1 mass]:[Corrected axle group 7 mass]])</f>
        <v>62</v>
      </c>
      <c r="AK25">
        <f>Mass_Data[[#This Row],[Total (2)]]-Mass_Data[[#This Row],[GCM (t)]]</f>
        <v>0</v>
      </c>
      <c r="AL25" s="22" t="str">
        <f>IF(Mass_Data[[#This Row],[Difference between MDL and corrected axle masses]]=0,"YES","NO")</f>
        <v>YES</v>
      </c>
    </row>
    <row r="26" spans="3:38" x14ac:dyDescent="0.35">
      <c r="C26" s="10" t="str">
        <f t="shared" si="0"/>
        <v>PBS - 4-axle truck and 5-axle dog trailer (GML): 2</v>
      </c>
      <c r="D26" s="10" t="s">
        <v>208</v>
      </c>
      <c r="E26" s="10" t="s">
        <v>147</v>
      </c>
      <c r="F26" s="10" t="s">
        <v>18</v>
      </c>
      <c r="G26" s="10" t="s">
        <v>4</v>
      </c>
      <c r="H26" t="s">
        <v>118</v>
      </c>
      <c r="I26" s="9">
        <v>64</v>
      </c>
      <c r="J26" s="14">
        <v>42.279199463327373</v>
      </c>
      <c r="K26" s="14">
        <f>Mass_Data[[#This Row],[GCM (t)]]-Mass_Data[[#This Row],[Payload (t)]]</f>
        <v>21.720800536672627</v>
      </c>
      <c r="L26" t="s">
        <v>40</v>
      </c>
      <c r="M26" t="s">
        <v>9</v>
      </c>
      <c r="N26" t="s">
        <v>30</v>
      </c>
      <c r="O26" t="s">
        <v>10</v>
      </c>
      <c r="P26">
        <v>0</v>
      </c>
      <c r="R26">
        <v>0</v>
      </c>
      <c r="S26" cm="1">
        <f t="array" ref="S26">_xlfn.XLOOKUP(Mass_Data[[#This Row],[axle group 1]]&amp;Mass_Data[[#This Row],[Mass Scheme]],Axle_Data[Axle Code]&amp;Axle_Data[Mass Scheme],Axle_Data[MDL Maximum Mass (t)],"",0)</f>
        <v>11</v>
      </c>
      <c r="T26" cm="1">
        <f t="array" ref="T26">_xlfn.XLOOKUP(Mass_Data[[#This Row],[axle group 2]]&amp;Mass_Data[[#This Row],[Mass Scheme]],Axle_Data[Axle Code]&amp;Axle_Data[Mass Scheme],Axle_Data[MDL Maximum Mass (t)],"",0)</f>
        <v>16.5</v>
      </c>
      <c r="U26" cm="1">
        <f t="array" ref="U26">_xlfn.XLOOKUP(Mass_Data[[#This Row],[axle group 3]]&amp;Mass_Data[[#This Row],[Mass Scheme]],Axle_Data[Axle Code]&amp;Axle_Data[Mass Scheme],Axle_Data[MDL Maximum Mass (t)],"",0)</f>
        <v>16.5</v>
      </c>
      <c r="V26" cm="1">
        <f t="array" ref="V26">_xlfn.XLOOKUP(Mass_Data[[#This Row],[axle group 4]]&amp;Mass_Data[[#This Row],[Mass Scheme]],Axle_Data[Axle Code]&amp;Axle_Data[Mass Scheme],Axle_Data[MDL Maximum Mass (t)],"",0)</f>
        <v>20</v>
      </c>
      <c r="W26" t="str" cm="1">
        <f t="array" ref="W26">_xlfn.XLOOKUP(Mass_Data[[#This Row],[axle group 5]]&amp;Mass_Data[[#This Row],[Mass Scheme]],Axle_Data[Axle Code]&amp;Axle_Data[Mass Scheme],Axle_Data[MDL Maximum Mass (t)],"",0)</f>
        <v/>
      </c>
      <c r="X26" t="str" cm="1">
        <f t="array" ref="X26">_xlfn.XLOOKUP(Mass_Data[[#This Row],[axle group 6]]&amp;Mass_Data[[#This Row],[Mass Scheme]],Axle_Data[Axle Code]&amp;Axle_Data[Mass Scheme],Axle_Data[MDL Maximum Mass (t)],"",0)</f>
        <v/>
      </c>
      <c r="Y26" t="str" cm="1">
        <f t="array" ref="Y26">_xlfn.XLOOKUP(Mass_Data[[#This Row],[axle group 7]]&amp;Mass_Data[[#This Row],[Mass Scheme]],Axle_Data[Axle Code]&amp;Axle_Data[Mass Scheme],Axle_Data[MDL Maximum Mass (t)],"",0)</f>
        <v/>
      </c>
      <c r="Z26" s="81">
        <f>SUM(Mass_Data[[#This Row],[MDL axle group 1 mass]:[MDL axle group 7 mass]])</f>
        <v>64</v>
      </c>
      <c r="AA26">
        <f>Mass_Data[[#This Row],[Total (1)]]-Mass_Data[[#This Row],[GCM (t)]]</f>
        <v>0</v>
      </c>
      <c r="AB26" t="str">
        <f>IF(Mass_Data[[#This Row],[Difference between MDL and GCM]]=0,"YES","NO")</f>
        <v>YES</v>
      </c>
      <c r="AC26" s="22">
        <f>IFERROR(IF(Mass_Data[[#This Row],[Check (1)]]="YES",Mass_Data[[#This Row],[MDL axle group 1 mass]],Mass_Data[[#This Row],[MDL axle group 1 mass]]-(Mass_Data[[#This Row],[Difference between MDL and GCM]]*(Mass_Data[[#This Row],[MDL axle group 1 mass]]/Mass_Data[[#This Row],[Total (1)]]))),"")</f>
        <v>11</v>
      </c>
      <c r="AD26" s="22">
        <f>IFERROR(IF(Mass_Data[[#This Row],[Check (1)]]="YES",Mass_Data[[#This Row],[MDL axle group 2 mass]],Mass_Data[[#This Row],[MDL axle group 2 mass]]-(Mass_Data[[#This Row],[Difference between MDL and GCM]]*(Mass_Data[[#This Row],[MDL axle group 2 mass]]/Mass_Data[[#This Row],[Total (1)]]))),"")</f>
        <v>16.5</v>
      </c>
      <c r="AE26" s="22">
        <f>IFERROR(IF(Mass_Data[[#This Row],[Check (1)]]="YES",Mass_Data[[#This Row],[MDL axle group 3 mass]],Mass_Data[[#This Row],[MDL axle group 3 mass]]-(Mass_Data[[#This Row],[Difference between MDL and GCM]]*(Mass_Data[[#This Row],[MDL axle group 3 mass]]/Mass_Data[[#This Row],[Total (1)]]))),"")</f>
        <v>16.5</v>
      </c>
      <c r="AF26" s="22">
        <f>IFERROR(IF(Mass_Data[[#This Row],[Check (1)]]="YES",Mass_Data[[#This Row],[MDL axle group 4 mass]],Mass_Data[[#This Row],[MDL axle group 4 mass]]-(Mass_Data[[#This Row],[Difference between MDL and GCM]]*(Mass_Data[[#This Row],[MDL axle group 4 mass]]/Mass_Data[[#This Row],[Total (1)]]))),"")</f>
        <v>20</v>
      </c>
      <c r="AG26" s="22" t="str">
        <f>IFERROR(IF(Mass_Data[[#This Row],[Check (1)]]="YES",Mass_Data[[#This Row],[MDL axle group 5 mass]],Mass_Data[[#This Row],[MDL axle group 5 mass]]-(Mass_Data[[#This Row],[Difference between MDL and GCM]]*(Mass_Data[[#This Row],[MDL axle group 5 mass]]/Mass_Data[[#This Row],[Total (1)]]))),"")</f>
        <v/>
      </c>
      <c r="AH26" s="22" t="str">
        <f>IFERROR(IF(Mass_Data[[#This Row],[Check (1)]]="YES",Mass_Data[[#This Row],[MDL axle group 6 mass]],Mass_Data[[#This Row],[MDL axle group 6 mass]]-(Mass_Data[[#This Row],[Difference between MDL and GCM]]*(Mass_Data[[#This Row],[MDL axle group 6 mass]]/Mass_Data[[#This Row],[Total (1)]]))),"")</f>
        <v/>
      </c>
      <c r="AI26" s="22" t="str">
        <f>IFERROR(IF(Mass_Data[[#This Row],[Check (1)]]="YES",Mass_Data[[#This Row],[MDL axle group 7 mass]],Mass_Data[[#This Row],[MDL axle group 7 mass]]-(Mass_Data[[#This Row],[Difference between MDL and GCM]]*(Mass_Data[[#This Row],[MDL axle group 7 mass]]/Mass_Data[[#This Row],[Total (1)]]))),"")</f>
        <v/>
      </c>
      <c r="AJ26" s="81">
        <f>SUM(Mass_Data[[#This Row],[Corrected axle group 1 mass]:[Corrected axle group 7 mass]])</f>
        <v>64</v>
      </c>
      <c r="AK26">
        <f>Mass_Data[[#This Row],[Total (2)]]-Mass_Data[[#This Row],[GCM (t)]]</f>
        <v>0</v>
      </c>
      <c r="AL26" s="22" t="str">
        <f>IF(Mass_Data[[#This Row],[Difference between MDL and corrected axle masses]]=0,"YES","NO")</f>
        <v>YES</v>
      </c>
    </row>
    <row r="27" spans="3:38" x14ac:dyDescent="0.35">
      <c r="C27" s="10" t="str">
        <f t="shared" si="0"/>
        <v>PBS - 4-axle truck and 5-axle dog trailer (CML): 2</v>
      </c>
      <c r="D27" s="10" t="s">
        <v>208</v>
      </c>
      <c r="E27" s="10" t="s">
        <v>147</v>
      </c>
      <c r="F27" s="10" t="s">
        <v>20</v>
      </c>
      <c r="G27" s="10" t="s">
        <v>4</v>
      </c>
      <c r="H27" t="s">
        <v>118</v>
      </c>
      <c r="I27" s="9">
        <v>66</v>
      </c>
      <c r="J27" s="14">
        <v>44.279199463327373</v>
      </c>
      <c r="K27" s="14">
        <f>Mass_Data[[#This Row],[GCM (t)]]-Mass_Data[[#This Row],[Payload (t)]]</f>
        <v>21.720800536672627</v>
      </c>
      <c r="L27" t="s">
        <v>40</v>
      </c>
      <c r="M27" t="s">
        <v>9</v>
      </c>
      <c r="N27" t="s">
        <v>30</v>
      </c>
      <c r="O27" t="s">
        <v>10</v>
      </c>
      <c r="P27">
        <v>0</v>
      </c>
      <c r="R27">
        <v>0</v>
      </c>
      <c r="S27" cm="1">
        <f t="array" ref="S27">_xlfn.XLOOKUP(Mass_Data[[#This Row],[axle group 1]]&amp;Mass_Data[[#This Row],[Mass Scheme]],Axle_Data[Axle Code]&amp;Axle_Data[Mass Scheme],Axle_Data[MDL Maximum Mass (t)],"",0)</f>
        <v>11</v>
      </c>
      <c r="T27" cm="1">
        <f t="array" ref="T27">_xlfn.XLOOKUP(Mass_Data[[#This Row],[axle group 2]]&amp;Mass_Data[[#This Row],[Mass Scheme]],Axle_Data[Axle Code]&amp;Axle_Data[Mass Scheme],Axle_Data[MDL Maximum Mass (t)],"",0)</f>
        <v>17</v>
      </c>
      <c r="U27" cm="1">
        <f t="array" ref="U27">_xlfn.XLOOKUP(Mass_Data[[#This Row],[axle group 3]]&amp;Mass_Data[[#This Row],[Mass Scheme]],Axle_Data[Axle Code]&amp;Axle_Data[Mass Scheme],Axle_Data[MDL Maximum Mass (t)],"",0)</f>
        <v>17</v>
      </c>
      <c r="V27" cm="1">
        <f t="array" ref="V27">_xlfn.XLOOKUP(Mass_Data[[#This Row],[axle group 4]]&amp;Mass_Data[[#This Row],[Mass Scheme]],Axle_Data[Axle Code]&amp;Axle_Data[Mass Scheme],Axle_Data[MDL Maximum Mass (t)],"",0)</f>
        <v>21</v>
      </c>
      <c r="W27" t="str" cm="1">
        <f t="array" ref="W27">_xlfn.XLOOKUP(Mass_Data[[#This Row],[axle group 5]]&amp;Mass_Data[[#This Row],[Mass Scheme]],Axle_Data[Axle Code]&amp;Axle_Data[Mass Scheme],Axle_Data[MDL Maximum Mass (t)],"",0)</f>
        <v/>
      </c>
      <c r="X27" t="str" cm="1">
        <f t="array" ref="X27">_xlfn.XLOOKUP(Mass_Data[[#This Row],[axle group 6]]&amp;Mass_Data[[#This Row],[Mass Scheme]],Axle_Data[Axle Code]&amp;Axle_Data[Mass Scheme],Axle_Data[MDL Maximum Mass (t)],"",0)</f>
        <v/>
      </c>
      <c r="Y27" t="str" cm="1">
        <f t="array" ref="Y27">_xlfn.XLOOKUP(Mass_Data[[#This Row],[axle group 7]]&amp;Mass_Data[[#This Row],[Mass Scheme]],Axle_Data[Axle Code]&amp;Axle_Data[Mass Scheme],Axle_Data[MDL Maximum Mass (t)],"",0)</f>
        <v/>
      </c>
      <c r="Z27" s="81">
        <f>SUM(Mass_Data[[#This Row],[MDL axle group 1 mass]:[MDL axle group 7 mass]])</f>
        <v>66</v>
      </c>
      <c r="AA27">
        <f>Mass_Data[[#This Row],[Total (1)]]-Mass_Data[[#This Row],[GCM (t)]]</f>
        <v>0</v>
      </c>
      <c r="AB27" t="str">
        <f>IF(Mass_Data[[#This Row],[Difference between MDL and GCM]]=0,"YES","NO")</f>
        <v>YES</v>
      </c>
      <c r="AC27" s="22">
        <f>IFERROR(IF(Mass_Data[[#This Row],[Check (1)]]="YES",Mass_Data[[#This Row],[MDL axle group 1 mass]],Mass_Data[[#This Row],[MDL axle group 1 mass]]-(Mass_Data[[#This Row],[Difference between MDL and GCM]]*(Mass_Data[[#This Row],[MDL axle group 1 mass]]/Mass_Data[[#This Row],[Total (1)]]))),"")</f>
        <v>11</v>
      </c>
      <c r="AD27" s="22">
        <f>IFERROR(IF(Mass_Data[[#This Row],[Check (1)]]="YES",Mass_Data[[#This Row],[MDL axle group 2 mass]],Mass_Data[[#This Row],[MDL axle group 2 mass]]-(Mass_Data[[#This Row],[Difference between MDL and GCM]]*(Mass_Data[[#This Row],[MDL axle group 2 mass]]/Mass_Data[[#This Row],[Total (1)]]))),"")</f>
        <v>17</v>
      </c>
      <c r="AE27" s="22">
        <f>IFERROR(IF(Mass_Data[[#This Row],[Check (1)]]="YES",Mass_Data[[#This Row],[MDL axle group 3 mass]],Mass_Data[[#This Row],[MDL axle group 3 mass]]-(Mass_Data[[#This Row],[Difference between MDL and GCM]]*(Mass_Data[[#This Row],[MDL axle group 3 mass]]/Mass_Data[[#This Row],[Total (1)]]))),"")</f>
        <v>17</v>
      </c>
      <c r="AF27" s="22">
        <f>IFERROR(IF(Mass_Data[[#This Row],[Check (1)]]="YES",Mass_Data[[#This Row],[MDL axle group 4 mass]],Mass_Data[[#This Row],[MDL axle group 4 mass]]-(Mass_Data[[#This Row],[Difference between MDL and GCM]]*(Mass_Data[[#This Row],[MDL axle group 4 mass]]/Mass_Data[[#This Row],[Total (1)]]))),"")</f>
        <v>21</v>
      </c>
      <c r="AG27" s="22" t="str">
        <f>IFERROR(IF(Mass_Data[[#This Row],[Check (1)]]="YES",Mass_Data[[#This Row],[MDL axle group 5 mass]],Mass_Data[[#This Row],[MDL axle group 5 mass]]-(Mass_Data[[#This Row],[Difference between MDL and GCM]]*(Mass_Data[[#This Row],[MDL axle group 5 mass]]/Mass_Data[[#This Row],[Total (1)]]))),"")</f>
        <v/>
      </c>
      <c r="AH27" s="22" t="str">
        <f>IFERROR(IF(Mass_Data[[#This Row],[Check (1)]]="YES",Mass_Data[[#This Row],[MDL axle group 6 mass]],Mass_Data[[#This Row],[MDL axle group 6 mass]]-(Mass_Data[[#This Row],[Difference between MDL and GCM]]*(Mass_Data[[#This Row],[MDL axle group 6 mass]]/Mass_Data[[#This Row],[Total (1)]]))),"")</f>
        <v/>
      </c>
      <c r="AI27" s="22" t="str">
        <f>IFERROR(IF(Mass_Data[[#This Row],[Check (1)]]="YES",Mass_Data[[#This Row],[MDL axle group 7 mass]],Mass_Data[[#This Row],[MDL axle group 7 mass]]-(Mass_Data[[#This Row],[Difference between MDL and GCM]]*(Mass_Data[[#This Row],[MDL axle group 7 mass]]/Mass_Data[[#This Row],[Total (1)]]))),"")</f>
        <v/>
      </c>
      <c r="AJ27" s="81">
        <f>SUM(Mass_Data[[#This Row],[Corrected axle group 1 mass]:[Corrected axle group 7 mass]])</f>
        <v>66</v>
      </c>
      <c r="AK27">
        <f>Mass_Data[[#This Row],[Total (2)]]-Mass_Data[[#This Row],[GCM (t)]]</f>
        <v>0</v>
      </c>
      <c r="AL27" s="22" t="str">
        <f>IF(Mass_Data[[#This Row],[Difference between MDL and corrected axle masses]]=0,"YES","NO")</f>
        <v>YES</v>
      </c>
    </row>
    <row r="28" spans="3:38" x14ac:dyDescent="0.35">
      <c r="C28" s="10" t="str">
        <f t="shared" si="0"/>
        <v>PBS - 4-axle truck and 5-axle dog trailer (HML): 2</v>
      </c>
      <c r="D28" s="10" t="s">
        <v>208</v>
      </c>
      <c r="E28" s="10" t="s">
        <v>147</v>
      </c>
      <c r="F28" s="10" t="s">
        <v>7</v>
      </c>
      <c r="G28" s="10" t="s">
        <v>4</v>
      </c>
      <c r="H28" t="s">
        <v>118</v>
      </c>
      <c r="I28" s="9">
        <v>67.5</v>
      </c>
      <c r="J28" s="14">
        <v>45.779199463327373</v>
      </c>
      <c r="K28" s="14">
        <f>Mass_Data[[#This Row],[GCM (t)]]-Mass_Data[[#This Row],[Payload (t)]]</f>
        <v>21.720800536672627</v>
      </c>
      <c r="L28" t="s">
        <v>40</v>
      </c>
      <c r="M28" t="s">
        <v>9</v>
      </c>
      <c r="N28" t="s">
        <v>30</v>
      </c>
      <c r="O28" t="s">
        <v>10</v>
      </c>
      <c r="P28">
        <v>0</v>
      </c>
      <c r="R28">
        <v>0</v>
      </c>
      <c r="S28" cm="1">
        <f t="array" ref="S28">_xlfn.XLOOKUP(Mass_Data[[#This Row],[axle group 1]]&amp;Mass_Data[[#This Row],[Mass Scheme]],Axle_Data[Axle Code]&amp;Axle_Data[Mass Scheme],Axle_Data[MDL Maximum Mass (t)],"",0)</f>
        <v>11</v>
      </c>
      <c r="T28" cm="1">
        <f t="array" ref="T28">_xlfn.XLOOKUP(Mass_Data[[#This Row],[axle group 2]]&amp;Mass_Data[[#This Row],[Mass Scheme]],Axle_Data[Axle Code]&amp;Axle_Data[Mass Scheme],Axle_Data[MDL Maximum Mass (t)],"",0)</f>
        <v>17</v>
      </c>
      <c r="U28" cm="1">
        <f t="array" ref="U28">_xlfn.XLOOKUP(Mass_Data[[#This Row],[axle group 3]]&amp;Mass_Data[[#This Row],[Mass Scheme]],Axle_Data[Axle Code]&amp;Axle_Data[Mass Scheme],Axle_Data[MDL Maximum Mass (t)],"",0)</f>
        <v>17</v>
      </c>
      <c r="V28" cm="1">
        <f t="array" ref="V28">_xlfn.XLOOKUP(Mass_Data[[#This Row],[axle group 4]]&amp;Mass_Data[[#This Row],[Mass Scheme]],Axle_Data[Axle Code]&amp;Axle_Data[Mass Scheme],Axle_Data[MDL Maximum Mass (t)],"",0)</f>
        <v>22.5</v>
      </c>
      <c r="W28" t="str" cm="1">
        <f t="array" ref="W28">_xlfn.XLOOKUP(Mass_Data[[#This Row],[axle group 5]]&amp;Mass_Data[[#This Row],[Mass Scheme]],Axle_Data[Axle Code]&amp;Axle_Data[Mass Scheme],Axle_Data[MDL Maximum Mass (t)],"",0)</f>
        <v/>
      </c>
      <c r="X28" t="str" cm="1">
        <f t="array" ref="X28">_xlfn.XLOOKUP(Mass_Data[[#This Row],[axle group 6]]&amp;Mass_Data[[#This Row],[Mass Scheme]],Axle_Data[Axle Code]&amp;Axle_Data[Mass Scheme],Axle_Data[MDL Maximum Mass (t)],"",0)</f>
        <v/>
      </c>
      <c r="Y28" t="str" cm="1">
        <f t="array" ref="Y28">_xlfn.XLOOKUP(Mass_Data[[#This Row],[axle group 7]]&amp;Mass_Data[[#This Row],[Mass Scheme]],Axle_Data[Axle Code]&amp;Axle_Data[Mass Scheme],Axle_Data[MDL Maximum Mass (t)],"",0)</f>
        <v/>
      </c>
      <c r="Z28" s="81">
        <f>SUM(Mass_Data[[#This Row],[MDL axle group 1 mass]:[MDL axle group 7 mass]])</f>
        <v>67.5</v>
      </c>
      <c r="AA28">
        <f>Mass_Data[[#This Row],[Total (1)]]-Mass_Data[[#This Row],[GCM (t)]]</f>
        <v>0</v>
      </c>
      <c r="AB28" t="str">
        <f>IF(Mass_Data[[#This Row],[Difference between MDL and GCM]]=0,"YES","NO")</f>
        <v>YES</v>
      </c>
      <c r="AC28" s="22">
        <f>IFERROR(IF(Mass_Data[[#This Row],[Check (1)]]="YES",Mass_Data[[#This Row],[MDL axle group 1 mass]],Mass_Data[[#This Row],[MDL axle group 1 mass]]-(Mass_Data[[#This Row],[Difference between MDL and GCM]]*(Mass_Data[[#This Row],[MDL axle group 1 mass]]/Mass_Data[[#This Row],[Total (1)]]))),"")</f>
        <v>11</v>
      </c>
      <c r="AD28" s="22">
        <f>IFERROR(IF(Mass_Data[[#This Row],[Check (1)]]="YES",Mass_Data[[#This Row],[MDL axle group 2 mass]],Mass_Data[[#This Row],[MDL axle group 2 mass]]-(Mass_Data[[#This Row],[Difference between MDL and GCM]]*(Mass_Data[[#This Row],[MDL axle group 2 mass]]/Mass_Data[[#This Row],[Total (1)]]))),"")</f>
        <v>17</v>
      </c>
      <c r="AE28" s="22">
        <f>IFERROR(IF(Mass_Data[[#This Row],[Check (1)]]="YES",Mass_Data[[#This Row],[MDL axle group 3 mass]],Mass_Data[[#This Row],[MDL axle group 3 mass]]-(Mass_Data[[#This Row],[Difference between MDL and GCM]]*(Mass_Data[[#This Row],[MDL axle group 3 mass]]/Mass_Data[[#This Row],[Total (1)]]))),"")</f>
        <v>17</v>
      </c>
      <c r="AF28" s="22">
        <f>IFERROR(IF(Mass_Data[[#This Row],[Check (1)]]="YES",Mass_Data[[#This Row],[MDL axle group 4 mass]],Mass_Data[[#This Row],[MDL axle group 4 mass]]-(Mass_Data[[#This Row],[Difference between MDL and GCM]]*(Mass_Data[[#This Row],[MDL axle group 4 mass]]/Mass_Data[[#This Row],[Total (1)]]))),"")</f>
        <v>22.5</v>
      </c>
      <c r="AG28" s="22" t="str">
        <f>IFERROR(IF(Mass_Data[[#This Row],[Check (1)]]="YES",Mass_Data[[#This Row],[MDL axle group 5 mass]],Mass_Data[[#This Row],[MDL axle group 5 mass]]-(Mass_Data[[#This Row],[Difference between MDL and GCM]]*(Mass_Data[[#This Row],[MDL axle group 5 mass]]/Mass_Data[[#This Row],[Total (1)]]))),"")</f>
        <v/>
      </c>
      <c r="AH28" s="22" t="str">
        <f>IFERROR(IF(Mass_Data[[#This Row],[Check (1)]]="YES",Mass_Data[[#This Row],[MDL axle group 6 mass]],Mass_Data[[#This Row],[MDL axle group 6 mass]]-(Mass_Data[[#This Row],[Difference between MDL and GCM]]*(Mass_Data[[#This Row],[MDL axle group 6 mass]]/Mass_Data[[#This Row],[Total (1)]]))),"")</f>
        <v/>
      </c>
      <c r="AI28" s="22" t="str">
        <f>IFERROR(IF(Mass_Data[[#This Row],[Check (1)]]="YES",Mass_Data[[#This Row],[MDL axle group 7 mass]],Mass_Data[[#This Row],[MDL axle group 7 mass]]-(Mass_Data[[#This Row],[Difference between MDL and GCM]]*(Mass_Data[[#This Row],[MDL axle group 7 mass]]/Mass_Data[[#This Row],[Total (1)]]))),"")</f>
        <v/>
      </c>
      <c r="AJ28" s="81">
        <f>SUM(Mass_Data[[#This Row],[Corrected axle group 1 mass]:[Corrected axle group 7 mass]])</f>
        <v>67.5</v>
      </c>
      <c r="AK28">
        <f>Mass_Data[[#This Row],[Total (2)]]-Mass_Data[[#This Row],[GCM (t)]]</f>
        <v>0</v>
      </c>
      <c r="AL28" s="22" t="str">
        <f>IF(Mass_Data[[#This Row],[Difference between MDL and corrected axle masses]]=0,"YES","NO")</f>
        <v>YES</v>
      </c>
    </row>
    <row r="29" spans="3:38" x14ac:dyDescent="0.35">
      <c r="C29" s="10" t="str">
        <f t="shared" si="0"/>
        <v>PBS - 4-axle truck and 6-axle dog trailer (GML): 2</v>
      </c>
      <c r="D29" s="10" t="s">
        <v>206</v>
      </c>
      <c r="E29" s="10" t="s">
        <v>147</v>
      </c>
      <c r="F29" s="10" t="s">
        <v>18</v>
      </c>
      <c r="G29" s="10" t="s">
        <v>4</v>
      </c>
      <c r="H29" t="s">
        <v>119</v>
      </c>
      <c r="I29" s="9">
        <v>67.5</v>
      </c>
      <c r="J29" s="14">
        <v>44.19545104895105</v>
      </c>
      <c r="K29" s="14">
        <f>Mass_Data[[#This Row],[GCM (t)]]-Mass_Data[[#This Row],[Payload (t)]]</f>
        <v>23.30454895104895</v>
      </c>
      <c r="L29" t="s">
        <v>40</v>
      </c>
      <c r="M29" t="s">
        <v>9</v>
      </c>
      <c r="N29" t="s">
        <v>10</v>
      </c>
      <c r="O29" t="s">
        <v>10</v>
      </c>
      <c r="P29">
        <v>0</v>
      </c>
      <c r="R29">
        <v>0</v>
      </c>
      <c r="S29" cm="1">
        <f t="array" ref="S29">_xlfn.XLOOKUP(Mass_Data[[#This Row],[axle group 1]]&amp;Mass_Data[[#This Row],[Mass Scheme]],Axle_Data[Axle Code]&amp;Axle_Data[Mass Scheme],Axle_Data[MDL Maximum Mass (t)],"",0)</f>
        <v>11</v>
      </c>
      <c r="T29" cm="1">
        <f t="array" ref="T29">_xlfn.XLOOKUP(Mass_Data[[#This Row],[axle group 2]]&amp;Mass_Data[[#This Row],[Mass Scheme]],Axle_Data[Axle Code]&amp;Axle_Data[Mass Scheme],Axle_Data[MDL Maximum Mass (t)],"",0)</f>
        <v>16.5</v>
      </c>
      <c r="U29" cm="1">
        <f t="array" ref="U29">_xlfn.XLOOKUP(Mass_Data[[#This Row],[axle group 3]]&amp;Mass_Data[[#This Row],[Mass Scheme]],Axle_Data[Axle Code]&amp;Axle_Data[Mass Scheme],Axle_Data[MDL Maximum Mass (t)],"",0)</f>
        <v>20</v>
      </c>
      <c r="V29" cm="1">
        <f t="array" ref="V29">_xlfn.XLOOKUP(Mass_Data[[#This Row],[axle group 4]]&amp;Mass_Data[[#This Row],[Mass Scheme]],Axle_Data[Axle Code]&amp;Axle_Data[Mass Scheme],Axle_Data[MDL Maximum Mass (t)],"",0)</f>
        <v>20</v>
      </c>
      <c r="W29" t="str" cm="1">
        <f t="array" ref="W29">_xlfn.XLOOKUP(Mass_Data[[#This Row],[axle group 5]]&amp;Mass_Data[[#This Row],[Mass Scheme]],Axle_Data[Axle Code]&amp;Axle_Data[Mass Scheme],Axle_Data[MDL Maximum Mass (t)],"",0)</f>
        <v/>
      </c>
      <c r="X29" t="str" cm="1">
        <f t="array" ref="X29">_xlfn.XLOOKUP(Mass_Data[[#This Row],[axle group 6]]&amp;Mass_Data[[#This Row],[Mass Scheme]],Axle_Data[Axle Code]&amp;Axle_Data[Mass Scheme],Axle_Data[MDL Maximum Mass (t)],"",0)</f>
        <v/>
      </c>
      <c r="Y29" t="str" cm="1">
        <f t="array" ref="Y29">_xlfn.XLOOKUP(Mass_Data[[#This Row],[axle group 7]]&amp;Mass_Data[[#This Row],[Mass Scheme]],Axle_Data[Axle Code]&amp;Axle_Data[Mass Scheme],Axle_Data[MDL Maximum Mass (t)],"",0)</f>
        <v/>
      </c>
      <c r="Z29" s="81">
        <f>SUM(Mass_Data[[#This Row],[MDL axle group 1 mass]:[MDL axle group 7 mass]])</f>
        <v>67.5</v>
      </c>
      <c r="AA29">
        <f>Mass_Data[[#This Row],[Total (1)]]-Mass_Data[[#This Row],[GCM (t)]]</f>
        <v>0</v>
      </c>
      <c r="AB29" t="str">
        <f>IF(Mass_Data[[#This Row],[Difference between MDL and GCM]]=0,"YES","NO")</f>
        <v>YES</v>
      </c>
      <c r="AC29" s="22">
        <f>IFERROR(IF(Mass_Data[[#This Row],[Check (1)]]="YES",Mass_Data[[#This Row],[MDL axle group 1 mass]],Mass_Data[[#This Row],[MDL axle group 1 mass]]-(Mass_Data[[#This Row],[Difference between MDL and GCM]]*(Mass_Data[[#This Row],[MDL axle group 1 mass]]/Mass_Data[[#This Row],[Total (1)]]))),"")</f>
        <v>11</v>
      </c>
      <c r="AD29" s="22">
        <f>IFERROR(IF(Mass_Data[[#This Row],[Check (1)]]="YES",Mass_Data[[#This Row],[MDL axle group 2 mass]],Mass_Data[[#This Row],[MDL axle group 2 mass]]-(Mass_Data[[#This Row],[Difference between MDL and GCM]]*(Mass_Data[[#This Row],[MDL axle group 2 mass]]/Mass_Data[[#This Row],[Total (1)]]))),"")</f>
        <v>16.5</v>
      </c>
      <c r="AE29" s="22">
        <f>IFERROR(IF(Mass_Data[[#This Row],[Check (1)]]="YES",Mass_Data[[#This Row],[MDL axle group 3 mass]],Mass_Data[[#This Row],[MDL axle group 3 mass]]-(Mass_Data[[#This Row],[Difference between MDL and GCM]]*(Mass_Data[[#This Row],[MDL axle group 3 mass]]/Mass_Data[[#This Row],[Total (1)]]))),"")</f>
        <v>20</v>
      </c>
      <c r="AF29" s="22">
        <f>IFERROR(IF(Mass_Data[[#This Row],[Check (1)]]="YES",Mass_Data[[#This Row],[MDL axle group 4 mass]],Mass_Data[[#This Row],[MDL axle group 4 mass]]-(Mass_Data[[#This Row],[Difference between MDL and GCM]]*(Mass_Data[[#This Row],[MDL axle group 4 mass]]/Mass_Data[[#This Row],[Total (1)]]))),"")</f>
        <v>20</v>
      </c>
      <c r="AG29" s="22" t="str">
        <f>IFERROR(IF(Mass_Data[[#This Row],[Check (1)]]="YES",Mass_Data[[#This Row],[MDL axle group 5 mass]],Mass_Data[[#This Row],[MDL axle group 5 mass]]-(Mass_Data[[#This Row],[Difference between MDL and GCM]]*(Mass_Data[[#This Row],[MDL axle group 5 mass]]/Mass_Data[[#This Row],[Total (1)]]))),"")</f>
        <v/>
      </c>
      <c r="AH29" s="22" t="str">
        <f>IFERROR(IF(Mass_Data[[#This Row],[Check (1)]]="YES",Mass_Data[[#This Row],[MDL axle group 6 mass]],Mass_Data[[#This Row],[MDL axle group 6 mass]]-(Mass_Data[[#This Row],[Difference between MDL and GCM]]*(Mass_Data[[#This Row],[MDL axle group 6 mass]]/Mass_Data[[#This Row],[Total (1)]]))),"")</f>
        <v/>
      </c>
      <c r="AI29" s="22" t="str">
        <f>IFERROR(IF(Mass_Data[[#This Row],[Check (1)]]="YES",Mass_Data[[#This Row],[MDL axle group 7 mass]],Mass_Data[[#This Row],[MDL axle group 7 mass]]-(Mass_Data[[#This Row],[Difference between MDL and GCM]]*(Mass_Data[[#This Row],[MDL axle group 7 mass]]/Mass_Data[[#This Row],[Total (1)]]))),"")</f>
        <v/>
      </c>
      <c r="AJ29" s="81">
        <f>SUM(Mass_Data[[#This Row],[Corrected axle group 1 mass]:[Corrected axle group 7 mass]])</f>
        <v>67.5</v>
      </c>
      <c r="AK29">
        <f>Mass_Data[[#This Row],[Total (2)]]-Mass_Data[[#This Row],[GCM (t)]]</f>
        <v>0</v>
      </c>
      <c r="AL29" s="22" t="str">
        <f>IF(Mass_Data[[#This Row],[Difference between MDL and corrected axle masses]]=0,"YES","NO")</f>
        <v>YES</v>
      </c>
    </row>
    <row r="30" spans="3:38" x14ac:dyDescent="0.35">
      <c r="C30" s="10" t="str">
        <f t="shared" si="0"/>
        <v>PBS - 4-axle truck and 6-axle dog trailer (CML): 2</v>
      </c>
      <c r="D30" s="10" t="s">
        <v>206</v>
      </c>
      <c r="E30" s="10" t="s">
        <v>147</v>
      </c>
      <c r="F30" s="10" t="s">
        <v>20</v>
      </c>
      <c r="G30" s="10" t="s">
        <v>4</v>
      </c>
      <c r="H30" t="s">
        <v>119</v>
      </c>
      <c r="I30" s="9">
        <v>69.5</v>
      </c>
      <c r="J30" s="14">
        <v>46.19545104895105</v>
      </c>
      <c r="K30" s="14">
        <f>Mass_Data[[#This Row],[GCM (t)]]-Mass_Data[[#This Row],[Payload (t)]]</f>
        <v>23.30454895104895</v>
      </c>
      <c r="L30" t="s">
        <v>40</v>
      </c>
      <c r="M30" t="s">
        <v>9</v>
      </c>
      <c r="N30" t="s">
        <v>10</v>
      </c>
      <c r="O30" t="s">
        <v>10</v>
      </c>
      <c r="P30">
        <v>0</v>
      </c>
      <c r="R30">
        <v>0</v>
      </c>
      <c r="S30" cm="1">
        <f t="array" ref="S30">_xlfn.XLOOKUP(Mass_Data[[#This Row],[axle group 1]]&amp;Mass_Data[[#This Row],[Mass Scheme]],Axle_Data[Axle Code]&amp;Axle_Data[Mass Scheme],Axle_Data[MDL Maximum Mass (t)],"",0)</f>
        <v>11</v>
      </c>
      <c r="T30" cm="1">
        <f t="array" ref="T30">_xlfn.XLOOKUP(Mass_Data[[#This Row],[axle group 2]]&amp;Mass_Data[[#This Row],[Mass Scheme]],Axle_Data[Axle Code]&amp;Axle_Data[Mass Scheme],Axle_Data[MDL Maximum Mass (t)],"",0)</f>
        <v>17</v>
      </c>
      <c r="U30" cm="1">
        <f t="array" ref="U30">_xlfn.XLOOKUP(Mass_Data[[#This Row],[axle group 3]]&amp;Mass_Data[[#This Row],[Mass Scheme]],Axle_Data[Axle Code]&amp;Axle_Data[Mass Scheme],Axle_Data[MDL Maximum Mass (t)],"",0)</f>
        <v>21</v>
      </c>
      <c r="V30" cm="1">
        <f t="array" ref="V30">_xlfn.XLOOKUP(Mass_Data[[#This Row],[axle group 4]]&amp;Mass_Data[[#This Row],[Mass Scheme]],Axle_Data[Axle Code]&amp;Axle_Data[Mass Scheme],Axle_Data[MDL Maximum Mass (t)],"",0)</f>
        <v>21</v>
      </c>
      <c r="W30" t="str" cm="1">
        <f t="array" ref="W30">_xlfn.XLOOKUP(Mass_Data[[#This Row],[axle group 5]]&amp;Mass_Data[[#This Row],[Mass Scheme]],Axle_Data[Axle Code]&amp;Axle_Data[Mass Scheme],Axle_Data[MDL Maximum Mass (t)],"",0)</f>
        <v/>
      </c>
      <c r="X30" t="str" cm="1">
        <f t="array" ref="X30">_xlfn.XLOOKUP(Mass_Data[[#This Row],[axle group 6]]&amp;Mass_Data[[#This Row],[Mass Scheme]],Axle_Data[Axle Code]&amp;Axle_Data[Mass Scheme],Axle_Data[MDL Maximum Mass (t)],"",0)</f>
        <v/>
      </c>
      <c r="Y30" t="str" cm="1">
        <f t="array" ref="Y30">_xlfn.XLOOKUP(Mass_Data[[#This Row],[axle group 7]]&amp;Mass_Data[[#This Row],[Mass Scheme]],Axle_Data[Axle Code]&amp;Axle_Data[Mass Scheme],Axle_Data[MDL Maximum Mass (t)],"",0)</f>
        <v/>
      </c>
      <c r="Z30" s="81">
        <f>SUM(Mass_Data[[#This Row],[MDL axle group 1 mass]:[MDL axle group 7 mass]])</f>
        <v>70</v>
      </c>
      <c r="AA30">
        <f>Mass_Data[[#This Row],[Total (1)]]-Mass_Data[[#This Row],[GCM (t)]]</f>
        <v>0.5</v>
      </c>
      <c r="AB30" t="str">
        <f>IF(Mass_Data[[#This Row],[Difference between MDL and GCM]]=0,"YES","NO")</f>
        <v>NO</v>
      </c>
      <c r="AC30" s="22">
        <f>IFERROR(IF(Mass_Data[[#This Row],[Check (1)]]="YES",Mass_Data[[#This Row],[MDL axle group 1 mass]],Mass_Data[[#This Row],[MDL axle group 1 mass]]-(Mass_Data[[#This Row],[Difference between MDL and GCM]]*(Mass_Data[[#This Row],[MDL axle group 1 mass]]/Mass_Data[[#This Row],[Total (1)]]))),"")</f>
        <v>10.921428571428571</v>
      </c>
      <c r="AD30" s="22">
        <f>IFERROR(IF(Mass_Data[[#This Row],[Check (1)]]="YES",Mass_Data[[#This Row],[MDL axle group 2 mass]],Mass_Data[[#This Row],[MDL axle group 2 mass]]-(Mass_Data[[#This Row],[Difference between MDL and GCM]]*(Mass_Data[[#This Row],[MDL axle group 2 mass]]/Mass_Data[[#This Row],[Total (1)]]))),"")</f>
        <v>16.87857142857143</v>
      </c>
      <c r="AE30" s="22">
        <f>IFERROR(IF(Mass_Data[[#This Row],[Check (1)]]="YES",Mass_Data[[#This Row],[MDL axle group 3 mass]],Mass_Data[[#This Row],[MDL axle group 3 mass]]-(Mass_Data[[#This Row],[Difference between MDL and GCM]]*(Mass_Data[[#This Row],[MDL axle group 3 mass]]/Mass_Data[[#This Row],[Total (1)]]))),"")</f>
        <v>20.85</v>
      </c>
      <c r="AF30" s="22">
        <f>IFERROR(IF(Mass_Data[[#This Row],[Check (1)]]="YES",Mass_Data[[#This Row],[MDL axle group 4 mass]],Mass_Data[[#This Row],[MDL axle group 4 mass]]-(Mass_Data[[#This Row],[Difference between MDL and GCM]]*(Mass_Data[[#This Row],[MDL axle group 4 mass]]/Mass_Data[[#This Row],[Total (1)]]))),"")</f>
        <v>20.85</v>
      </c>
      <c r="AG30" s="22" t="str">
        <f>IFERROR(IF(Mass_Data[[#This Row],[Check (1)]]="YES",Mass_Data[[#This Row],[MDL axle group 5 mass]],Mass_Data[[#This Row],[MDL axle group 5 mass]]-(Mass_Data[[#This Row],[Difference between MDL and GCM]]*(Mass_Data[[#This Row],[MDL axle group 5 mass]]/Mass_Data[[#This Row],[Total (1)]]))),"")</f>
        <v/>
      </c>
      <c r="AH30" s="22" t="str">
        <f>IFERROR(IF(Mass_Data[[#This Row],[Check (1)]]="YES",Mass_Data[[#This Row],[MDL axle group 6 mass]],Mass_Data[[#This Row],[MDL axle group 6 mass]]-(Mass_Data[[#This Row],[Difference between MDL and GCM]]*(Mass_Data[[#This Row],[MDL axle group 6 mass]]/Mass_Data[[#This Row],[Total (1)]]))),"")</f>
        <v/>
      </c>
      <c r="AI30" s="22" t="str">
        <f>IFERROR(IF(Mass_Data[[#This Row],[Check (1)]]="YES",Mass_Data[[#This Row],[MDL axle group 7 mass]],Mass_Data[[#This Row],[MDL axle group 7 mass]]-(Mass_Data[[#This Row],[Difference between MDL and GCM]]*(Mass_Data[[#This Row],[MDL axle group 7 mass]]/Mass_Data[[#This Row],[Total (1)]]))),"")</f>
        <v/>
      </c>
      <c r="AJ30" s="81">
        <f>SUM(Mass_Data[[#This Row],[Corrected axle group 1 mass]:[Corrected axle group 7 mass]])</f>
        <v>69.5</v>
      </c>
      <c r="AK30">
        <f>Mass_Data[[#This Row],[Total (2)]]-Mass_Data[[#This Row],[GCM (t)]]</f>
        <v>0</v>
      </c>
      <c r="AL30" s="22" t="str">
        <f>IF(Mass_Data[[#This Row],[Difference between MDL and corrected axle masses]]=0,"YES","NO")</f>
        <v>YES</v>
      </c>
    </row>
    <row r="31" spans="3:38" x14ac:dyDescent="0.35">
      <c r="C31" s="10" t="str">
        <f t="shared" si="0"/>
        <v>PBS - 4-axle truck and 6-axle dog trailer (HML): 2</v>
      </c>
      <c r="D31" s="10" t="s">
        <v>206</v>
      </c>
      <c r="E31" s="10" t="s">
        <v>147</v>
      </c>
      <c r="F31" s="10" t="s">
        <v>7</v>
      </c>
      <c r="G31" s="10" t="s">
        <v>4</v>
      </c>
      <c r="H31" t="s">
        <v>119</v>
      </c>
      <c r="I31" s="9">
        <v>73</v>
      </c>
      <c r="J31" s="14">
        <v>49.69545104895105</v>
      </c>
      <c r="K31" s="14">
        <f>Mass_Data[[#This Row],[GCM (t)]]-Mass_Data[[#This Row],[Payload (t)]]</f>
        <v>23.30454895104895</v>
      </c>
      <c r="L31" t="s">
        <v>40</v>
      </c>
      <c r="M31" t="s">
        <v>9</v>
      </c>
      <c r="N31" t="s">
        <v>10</v>
      </c>
      <c r="O31" t="s">
        <v>10</v>
      </c>
      <c r="P31">
        <v>0</v>
      </c>
      <c r="R31">
        <v>0</v>
      </c>
      <c r="S31" cm="1">
        <f t="array" ref="S31">_xlfn.XLOOKUP(Mass_Data[[#This Row],[axle group 1]]&amp;Mass_Data[[#This Row],[Mass Scheme]],Axle_Data[Axle Code]&amp;Axle_Data[Mass Scheme],Axle_Data[MDL Maximum Mass (t)],"",0)</f>
        <v>11</v>
      </c>
      <c r="T31" cm="1">
        <f t="array" ref="T31">_xlfn.XLOOKUP(Mass_Data[[#This Row],[axle group 2]]&amp;Mass_Data[[#This Row],[Mass Scheme]],Axle_Data[Axle Code]&amp;Axle_Data[Mass Scheme],Axle_Data[MDL Maximum Mass (t)],"",0)</f>
        <v>17</v>
      </c>
      <c r="U31" cm="1">
        <f t="array" ref="U31">_xlfn.XLOOKUP(Mass_Data[[#This Row],[axle group 3]]&amp;Mass_Data[[#This Row],[Mass Scheme]],Axle_Data[Axle Code]&amp;Axle_Data[Mass Scheme],Axle_Data[MDL Maximum Mass (t)],"",0)</f>
        <v>22.5</v>
      </c>
      <c r="V31" cm="1">
        <f t="array" ref="V31">_xlfn.XLOOKUP(Mass_Data[[#This Row],[axle group 4]]&amp;Mass_Data[[#This Row],[Mass Scheme]],Axle_Data[Axle Code]&amp;Axle_Data[Mass Scheme],Axle_Data[MDL Maximum Mass (t)],"",0)</f>
        <v>22.5</v>
      </c>
      <c r="W31" t="str" cm="1">
        <f t="array" ref="W31">_xlfn.XLOOKUP(Mass_Data[[#This Row],[axle group 5]]&amp;Mass_Data[[#This Row],[Mass Scheme]],Axle_Data[Axle Code]&amp;Axle_Data[Mass Scheme],Axle_Data[MDL Maximum Mass (t)],"",0)</f>
        <v/>
      </c>
      <c r="X31" t="str" cm="1">
        <f t="array" ref="X31">_xlfn.XLOOKUP(Mass_Data[[#This Row],[axle group 6]]&amp;Mass_Data[[#This Row],[Mass Scheme]],Axle_Data[Axle Code]&amp;Axle_Data[Mass Scheme],Axle_Data[MDL Maximum Mass (t)],"",0)</f>
        <v/>
      </c>
      <c r="Y31" t="str" cm="1">
        <f t="array" ref="Y31">_xlfn.XLOOKUP(Mass_Data[[#This Row],[axle group 7]]&amp;Mass_Data[[#This Row],[Mass Scheme]],Axle_Data[Axle Code]&amp;Axle_Data[Mass Scheme],Axle_Data[MDL Maximum Mass (t)],"",0)</f>
        <v/>
      </c>
      <c r="Z31" s="81">
        <f>SUM(Mass_Data[[#This Row],[MDL axle group 1 mass]:[MDL axle group 7 mass]])</f>
        <v>73</v>
      </c>
      <c r="AA31">
        <f>Mass_Data[[#This Row],[Total (1)]]-Mass_Data[[#This Row],[GCM (t)]]</f>
        <v>0</v>
      </c>
      <c r="AB31" t="str">
        <f>IF(Mass_Data[[#This Row],[Difference between MDL and GCM]]=0,"YES","NO")</f>
        <v>YES</v>
      </c>
      <c r="AC31" s="22">
        <f>IFERROR(IF(Mass_Data[[#This Row],[Check (1)]]="YES",Mass_Data[[#This Row],[MDL axle group 1 mass]],Mass_Data[[#This Row],[MDL axle group 1 mass]]-(Mass_Data[[#This Row],[Difference between MDL and GCM]]*(Mass_Data[[#This Row],[MDL axle group 1 mass]]/Mass_Data[[#This Row],[Total (1)]]))),"")</f>
        <v>11</v>
      </c>
      <c r="AD31" s="22">
        <f>IFERROR(IF(Mass_Data[[#This Row],[Check (1)]]="YES",Mass_Data[[#This Row],[MDL axle group 2 mass]],Mass_Data[[#This Row],[MDL axle group 2 mass]]-(Mass_Data[[#This Row],[Difference between MDL and GCM]]*(Mass_Data[[#This Row],[MDL axle group 2 mass]]/Mass_Data[[#This Row],[Total (1)]]))),"")</f>
        <v>17</v>
      </c>
      <c r="AE31" s="22">
        <f>IFERROR(IF(Mass_Data[[#This Row],[Check (1)]]="YES",Mass_Data[[#This Row],[MDL axle group 3 mass]],Mass_Data[[#This Row],[MDL axle group 3 mass]]-(Mass_Data[[#This Row],[Difference between MDL and GCM]]*(Mass_Data[[#This Row],[MDL axle group 3 mass]]/Mass_Data[[#This Row],[Total (1)]]))),"")</f>
        <v>22.5</v>
      </c>
      <c r="AF31" s="22">
        <f>IFERROR(IF(Mass_Data[[#This Row],[Check (1)]]="YES",Mass_Data[[#This Row],[MDL axle group 4 mass]],Mass_Data[[#This Row],[MDL axle group 4 mass]]-(Mass_Data[[#This Row],[Difference between MDL and GCM]]*(Mass_Data[[#This Row],[MDL axle group 4 mass]]/Mass_Data[[#This Row],[Total (1)]]))),"")</f>
        <v>22.5</v>
      </c>
      <c r="AG31" s="22" t="str">
        <f>IFERROR(IF(Mass_Data[[#This Row],[Check (1)]]="YES",Mass_Data[[#This Row],[MDL axle group 5 mass]],Mass_Data[[#This Row],[MDL axle group 5 mass]]-(Mass_Data[[#This Row],[Difference between MDL and GCM]]*(Mass_Data[[#This Row],[MDL axle group 5 mass]]/Mass_Data[[#This Row],[Total (1)]]))),"")</f>
        <v/>
      </c>
      <c r="AH31" s="22" t="str">
        <f>IFERROR(IF(Mass_Data[[#This Row],[Check (1)]]="YES",Mass_Data[[#This Row],[MDL axle group 6 mass]],Mass_Data[[#This Row],[MDL axle group 6 mass]]-(Mass_Data[[#This Row],[Difference between MDL and GCM]]*(Mass_Data[[#This Row],[MDL axle group 6 mass]]/Mass_Data[[#This Row],[Total (1)]]))),"")</f>
        <v/>
      </c>
      <c r="AI31" s="22" t="str">
        <f>IFERROR(IF(Mass_Data[[#This Row],[Check (1)]]="YES",Mass_Data[[#This Row],[MDL axle group 7 mass]],Mass_Data[[#This Row],[MDL axle group 7 mass]]-(Mass_Data[[#This Row],[Difference between MDL and GCM]]*(Mass_Data[[#This Row],[MDL axle group 7 mass]]/Mass_Data[[#This Row],[Total (1)]]))),"")</f>
        <v/>
      </c>
      <c r="AJ31" s="81">
        <f>SUM(Mass_Data[[#This Row],[Corrected axle group 1 mass]:[Corrected axle group 7 mass]])</f>
        <v>73</v>
      </c>
      <c r="AK31">
        <f>Mass_Data[[#This Row],[Total (2)]]-Mass_Data[[#This Row],[GCM (t)]]</f>
        <v>0</v>
      </c>
      <c r="AL31" s="22" t="str">
        <f>IF(Mass_Data[[#This Row],[Difference between MDL and corrected axle masses]]=0,"YES","NO")</f>
        <v>YES</v>
      </c>
    </row>
    <row r="32" spans="3:38" x14ac:dyDescent="0.35">
      <c r="C32" s="10" t="str">
        <f t="shared" si="0"/>
        <v>PBS - 2-axle prime mover and 2-axle semitrailer (GML): 1</v>
      </c>
      <c r="D32" s="10" t="s">
        <v>203</v>
      </c>
      <c r="E32" s="10" t="s">
        <v>147</v>
      </c>
      <c r="F32" s="10" t="s">
        <v>18</v>
      </c>
      <c r="G32" s="10" t="s">
        <v>3</v>
      </c>
      <c r="H32" t="s">
        <v>120</v>
      </c>
      <c r="I32" s="9">
        <v>32</v>
      </c>
      <c r="J32" s="14">
        <v>17.2616638764881</v>
      </c>
      <c r="K32" s="14">
        <f>Mass_Data[[#This Row],[GCM (t)]]-Mass_Data[[#This Row],[Payload (t)]]</f>
        <v>14.7383361235119</v>
      </c>
      <c r="L32" t="s">
        <v>8</v>
      </c>
      <c r="M32" t="s">
        <v>24</v>
      </c>
      <c r="N32" t="s">
        <v>30</v>
      </c>
      <c r="O32">
        <v>0</v>
      </c>
      <c r="P32">
        <v>0</v>
      </c>
      <c r="Q32">
        <v>0</v>
      </c>
      <c r="R32">
        <v>0</v>
      </c>
      <c r="S32" cm="1">
        <f t="array" ref="S32">_xlfn.XLOOKUP(Mass_Data[[#This Row],[axle group 1]]&amp;Mass_Data[[#This Row],[Mass Scheme]],Axle_Data[Axle Code]&amp;Axle_Data[Mass Scheme],Axle_Data[MDL Maximum Mass (t)],"",0)</f>
        <v>6.5</v>
      </c>
      <c r="T32" cm="1">
        <f t="array" ref="T32">_xlfn.XLOOKUP(Mass_Data[[#This Row],[axle group 2]]&amp;Mass_Data[[#This Row],[Mass Scheme]],Axle_Data[Axle Code]&amp;Axle_Data[Mass Scheme],Axle_Data[MDL Maximum Mass (t)],"",0)</f>
        <v>9</v>
      </c>
      <c r="U32" cm="1">
        <f t="array" ref="U32">_xlfn.XLOOKUP(Mass_Data[[#This Row],[axle group 3]]&amp;Mass_Data[[#This Row],[Mass Scheme]],Axle_Data[Axle Code]&amp;Axle_Data[Mass Scheme],Axle_Data[MDL Maximum Mass (t)],"",0)</f>
        <v>16.5</v>
      </c>
      <c r="V32" t="str" cm="1">
        <f t="array" ref="V32">_xlfn.XLOOKUP(Mass_Data[[#This Row],[axle group 4]]&amp;Mass_Data[[#This Row],[Mass Scheme]],Axle_Data[Axle Code]&amp;Axle_Data[Mass Scheme],Axle_Data[MDL Maximum Mass (t)],"",0)</f>
        <v/>
      </c>
      <c r="W32" t="str" cm="1">
        <f t="array" ref="W32">_xlfn.XLOOKUP(Mass_Data[[#This Row],[axle group 5]]&amp;Mass_Data[[#This Row],[Mass Scheme]],Axle_Data[Axle Code]&amp;Axle_Data[Mass Scheme],Axle_Data[MDL Maximum Mass (t)],"",0)</f>
        <v/>
      </c>
      <c r="X32" t="str" cm="1">
        <f t="array" ref="X32">_xlfn.XLOOKUP(Mass_Data[[#This Row],[axle group 6]]&amp;Mass_Data[[#This Row],[Mass Scheme]],Axle_Data[Axle Code]&amp;Axle_Data[Mass Scheme],Axle_Data[MDL Maximum Mass (t)],"",0)</f>
        <v/>
      </c>
      <c r="Y32" t="str" cm="1">
        <f t="array" ref="Y32">_xlfn.XLOOKUP(Mass_Data[[#This Row],[axle group 7]]&amp;Mass_Data[[#This Row],[Mass Scheme]],Axle_Data[Axle Code]&amp;Axle_Data[Mass Scheme],Axle_Data[MDL Maximum Mass (t)],"",0)</f>
        <v/>
      </c>
      <c r="Z32" s="81">
        <f>SUM(Mass_Data[[#This Row],[MDL axle group 1 mass]:[MDL axle group 7 mass]])</f>
        <v>32</v>
      </c>
      <c r="AA32">
        <f>Mass_Data[[#This Row],[Total (1)]]-Mass_Data[[#This Row],[GCM (t)]]</f>
        <v>0</v>
      </c>
      <c r="AB32" t="str">
        <f>IF(Mass_Data[[#This Row],[Difference between MDL and GCM]]=0,"YES","NO")</f>
        <v>YES</v>
      </c>
      <c r="AC32" s="22">
        <f>IFERROR(IF(Mass_Data[[#This Row],[Check (1)]]="YES",Mass_Data[[#This Row],[MDL axle group 1 mass]],Mass_Data[[#This Row],[MDL axle group 1 mass]]-(Mass_Data[[#This Row],[Difference between MDL and GCM]]*(Mass_Data[[#This Row],[MDL axle group 1 mass]]/Mass_Data[[#This Row],[Total (1)]]))),"")</f>
        <v>6.5</v>
      </c>
      <c r="AD32" s="22">
        <f>IFERROR(IF(Mass_Data[[#This Row],[Check (1)]]="YES",Mass_Data[[#This Row],[MDL axle group 2 mass]],Mass_Data[[#This Row],[MDL axle group 2 mass]]-(Mass_Data[[#This Row],[Difference between MDL and GCM]]*(Mass_Data[[#This Row],[MDL axle group 2 mass]]/Mass_Data[[#This Row],[Total (1)]]))),"")</f>
        <v>9</v>
      </c>
      <c r="AE32" s="22">
        <f>IFERROR(IF(Mass_Data[[#This Row],[Check (1)]]="YES",Mass_Data[[#This Row],[MDL axle group 3 mass]],Mass_Data[[#This Row],[MDL axle group 3 mass]]-(Mass_Data[[#This Row],[Difference between MDL and GCM]]*(Mass_Data[[#This Row],[MDL axle group 3 mass]]/Mass_Data[[#This Row],[Total (1)]]))),"")</f>
        <v>16.5</v>
      </c>
      <c r="AF32" s="22" t="str">
        <f>IFERROR(IF(Mass_Data[[#This Row],[Check (1)]]="YES",Mass_Data[[#This Row],[MDL axle group 4 mass]],Mass_Data[[#This Row],[MDL axle group 4 mass]]-(Mass_Data[[#This Row],[Difference between MDL and GCM]]*(Mass_Data[[#This Row],[MDL axle group 4 mass]]/Mass_Data[[#This Row],[Total (1)]]))),"")</f>
        <v/>
      </c>
      <c r="AG32" s="22" t="str">
        <f>IFERROR(IF(Mass_Data[[#This Row],[Check (1)]]="YES",Mass_Data[[#This Row],[MDL axle group 5 mass]],Mass_Data[[#This Row],[MDL axle group 5 mass]]-(Mass_Data[[#This Row],[Difference between MDL and GCM]]*(Mass_Data[[#This Row],[MDL axle group 5 mass]]/Mass_Data[[#This Row],[Total (1)]]))),"")</f>
        <v/>
      </c>
      <c r="AH32" s="22" t="str">
        <f>IFERROR(IF(Mass_Data[[#This Row],[Check (1)]]="YES",Mass_Data[[#This Row],[MDL axle group 6 mass]],Mass_Data[[#This Row],[MDL axle group 6 mass]]-(Mass_Data[[#This Row],[Difference between MDL and GCM]]*(Mass_Data[[#This Row],[MDL axle group 6 mass]]/Mass_Data[[#This Row],[Total (1)]]))),"")</f>
        <v/>
      </c>
      <c r="AI32" s="22" t="str">
        <f>IFERROR(IF(Mass_Data[[#This Row],[Check (1)]]="YES",Mass_Data[[#This Row],[MDL axle group 7 mass]],Mass_Data[[#This Row],[MDL axle group 7 mass]]-(Mass_Data[[#This Row],[Difference between MDL and GCM]]*(Mass_Data[[#This Row],[MDL axle group 7 mass]]/Mass_Data[[#This Row],[Total (1)]]))),"")</f>
        <v/>
      </c>
      <c r="AJ32" s="81">
        <f>SUM(Mass_Data[[#This Row],[Corrected axle group 1 mass]:[Corrected axle group 7 mass]])</f>
        <v>32</v>
      </c>
      <c r="AK32">
        <f>Mass_Data[[#This Row],[Total (2)]]-Mass_Data[[#This Row],[GCM (t)]]</f>
        <v>0</v>
      </c>
      <c r="AL32" s="22" t="str">
        <f>IF(Mass_Data[[#This Row],[Difference between MDL and corrected axle masses]]=0,"YES","NO")</f>
        <v>YES</v>
      </c>
    </row>
    <row r="33" spans="3:38" x14ac:dyDescent="0.35">
      <c r="C33" s="10" t="str">
        <f t="shared" si="0"/>
        <v>PBS - 2-axle prime mover and 2-axle semitrailer (CML): 1</v>
      </c>
      <c r="D33" s="10" t="s">
        <v>203</v>
      </c>
      <c r="E33" s="10" t="s">
        <v>147</v>
      </c>
      <c r="F33" s="10" t="s">
        <v>20</v>
      </c>
      <c r="G33" s="10" t="s">
        <v>3</v>
      </c>
      <c r="H33" t="s">
        <v>120</v>
      </c>
      <c r="I33" s="9">
        <v>32.5</v>
      </c>
      <c r="J33" s="14">
        <v>17.7616638764881</v>
      </c>
      <c r="K33" s="14">
        <f>Mass_Data[[#This Row],[GCM (t)]]-Mass_Data[[#This Row],[Payload (t)]]</f>
        <v>14.7383361235119</v>
      </c>
      <c r="L33" t="s">
        <v>8</v>
      </c>
      <c r="M33" t="s">
        <v>24</v>
      </c>
      <c r="N33" t="s">
        <v>30</v>
      </c>
      <c r="O33">
        <v>0</v>
      </c>
      <c r="P33">
        <v>0</v>
      </c>
      <c r="Q33">
        <v>0</v>
      </c>
      <c r="R33">
        <v>0</v>
      </c>
      <c r="S33" cm="1">
        <f t="array" ref="S33">_xlfn.XLOOKUP(Mass_Data[[#This Row],[axle group 1]]&amp;Mass_Data[[#This Row],[Mass Scheme]],Axle_Data[Axle Code]&amp;Axle_Data[Mass Scheme],Axle_Data[MDL Maximum Mass (t)],"",0)</f>
        <v>6.5</v>
      </c>
      <c r="T33" cm="1">
        <f t="array" ref="T33">_xlfn.XLOOKUP(Mass_Data[[#This Row],[axle group 2]]&amp;Mass_Data[[#This Row],[Mass Scheme]],Axle_Data[Axle Code]&amp;Axle_Data[Mass Scheme],Axle_Data[MDL Maximum Mass (t)],"",0)</f>
        <v>9</v>
      </c>
      <c r="U33" cm="1">
        <f t="array" ref="U33">_xlfn.XLOOKUP(Mass_Data[[#This Row],[axle group 3]]&amp;Mass_Data[[#This Row],[Mass Scheme]],Axle_Data[Axle Code]&amp;Axle_Data[Mass Scheme],Axle_Data[MDL Maximum Mass (t)],"",0)</f>
        <v>17</v>
      </c>
      <c r="V33" t="str" cm="1">
        <f t="array" ref="V33">_xlfn.XLOOKUP(Mass_Data[[#This Row],[axle group 4]]&amp;Mass_Data[[#This Row],[Mass Scheme]],Axle_Data[Axle Code]&amp;Axle_Data[Mass Scheme],Axle_Data[MDL Maximum Mass (t)],"",0)</f>
        <v/>
      </c>
      <c r="W33" t="str" cm="1">
        <f t="array" ref="W33">_xlfn.XLOOKUP(Mass_Data[[#This Row],[axle group 5]]&amp;Mass_Data[[#This Row],[Mass Scheme]],Axle_Data[Axle Code]&amp;Axle_Data[Mass Scheme],Axle_Data[MDL Maximum Mass (t)],"",0)</f>
        <v/>
      </c>
      <c r="X33" t="str" cm="1">
        <f t="array" ref="X33">_xlfn.XLOOKUP(Mass_Data[[#This Row],[axle group 6]]&amp;Mass_Data[[#This Row],[Mass Scheme]],Axle_Data[Axle Code]&amp;Axle_Data[Mass Scheme],Axle_Data[MDL Maximum Mass (t)],"",0)</f>
        <v/>
      </c>
      <c r="Y33" t="str" cm="1">
        <f t="array" ref="Y33">_xlfn.XLOOKUP(Mass_Data[[#This Row],[axle group 7]]&amp;Mass_Data[[#This Row],[Mass Scheme]],Axle_Data[Axle Code]&amp;Axle_Data[Mass Scheme],Axle_Data[MDL Maximum Mass (t)],"",0)</f>
        <v/>
      </c>
      <c r="Z33" s="81">
        <f>SUM(Mass_Data[[#This Row],[MDL axle group 1 mass]:[MDL axle group 7 mass]])</f>
        <v>32.5</v>
      </c>
      <c r="AA33">
        <f>Mass_Data[[#This Row],[Total (1)]]-Mass_Data[[#This Row],[GCM (t)]]</f>
        <v>0</v>
      </c>
      <c r="AB33" t="str">
        <f>IF(Mass_Data[[#This Row],[Difference between MDL and GCM]]=0,"YES","NO")</f>
        <v>YES</v>
      </c>
      <c r="AC33" s="22">
        <f>IFERROR(IF(Mass_Data[[#This Row],[Check (1)]]="YES",Mass_Data[[#This Row],[MDL axle group 1 mass]],Mass_Data[[#This Row],[MDL axle group 1 mass]]-(Mass_Data[[#This Row],[Difference between MDL and GCM]]*(Mass_Data[[#This Row],[MDL axle group 1 mass]]/Mass_Data[[#This Row],[Total (1)]]))),"")</f>
        <v>6.5</v>
      </c>
      <c r="AD33" s="22">
        <f>IFERROR(IF(Mass_Data[[#This Row],[Check (1)]]="YES",Mass_Data[[#This Row],[MDL axle group 2 mass]],Mass_Data[[#This Row],[MDL axle group 2 mass]]-(Mass_Data[[#This Row],[Difference between MDL and GCM]]*(Mass_Data[[#This Row],[MDL axle group 2 mass]]/Mass_Data[[#This Row],[Total (1)]]))),"")</f>
        <v>9</v>
      </c>
      <c r="AE33" s="22">
        <f>IFERROR(IF(Mass_Data[[#This Row],[Check (1)]]="YES",Mass_Data[[#This Row],[MDL axle group 3 mass]],Mass_Data[[#This Row],[MDL axle group 3 mass]]-(Mass_Data[[#This Row],[Difference between MDL and GCM]]*(Mass_Data[[#This Row],[MDL axle group 3 mass]]/Mass_Data[[#This Row],[Total (1)]]))),"")</f>
        <v>17</v>
      </c>
      <c r="AF33" s="22" t="str">
        <f>IFERROR(IF(Mass_Data[[#This Row],[Check (1)]]="YES",Mass_Data[[#This Row],[MDL axle group 4 mass]],Mass_Data[[#This Row],[MDL axle group 4 mass]]-(Mass_Data[[#This Row],[Difference between MDL and GCM]]*(Mass_Data[[#This Row],[MDL axle group 4 mass]]/Mass_Data[[#This Row],[Total (1)]]))),"")</f>
        <v/>
      </c>
      <c r="AG33" s="22" t="str">
        <f>IFERROR(IF(Mass_Data[[#This Row],[Check (1)]]="YES",Mass_Data[[#This Row],[MDL axle group 5 mass]],Mass_Data[[#This Row],[MDL axle group 5 mass]]-(Mass_Data[[#This Row],[Difference between MDL and GCM]]*(Mass_Data[[#This Row],[MDL axle group 5 mass]]/Mass_Data[[#This Row],[Total (1)]]))),"")</f>
        <v/>
      </c>
      <c r="AH33" s="22" t="str">
        <f>IFERROR(IF(Mass_Data[[#This Row],[Check (1)]]="YES",Mass_Data[[#This Row],[MDL axle group 6 mass]],Mass_Data[[#This Row],[MDL axle group 6 mass]]-(Mass_Data[[#This Row],[Difference between MDL and GCM]]*(Mass_Data[[#This Row],[MDL axle group 6 mass]]/Mass_Data[[#This Row],[Total (1)]]))),"")</f>
        <v/>
      </c>
      <c r="AI33" s="22" t="str">
        <f>IFERROR(IF(Mass_Data[[#This Row],[Check (1)]]="YES",Mass_Data[[#This Row],[MDL axle group 7 mass]],Mass_Data[[#This Row],[MDL axle group 7 mass]]-(Mass_Data[[#This Row],[Difference between MDL and GCM]]*(Mass_Data[[#This Row],[MDL axle group 7 mass]]/Mass_Data[[#This Row],[Total (1)]]))),"")</f>
        <v/>
      </c>
      <c r="AJ33" s="81">
        <f>SUM(Mass_Data[[#This Row],[Corrected axle group 1 mass]:[Corrected axle group 7 mass]])</f>
        <v>32.5</v>
      </c>
      <c r="AK33">
        <f>Mass_Data[[#This Row],[Total (2)]]-Mass_Data[[#This Row],[GCM (t)]]</f>
        <v>0</v>
      </c>
      <c r="AL33" s="22" t="str">
        <f>IF(Mass_Data[[#This Row],[Difference between MDL and corrected axle masses]]=0,"YES","NO")</f>
        <v>YES</v>
      </c>
    </row>
    <row r="34" spans="3:38" x14ac:dyDescent="0.35">
      <c r="C34" s="10" t="str">
        <f t="shared" si="0"/>
        <v>PBS - 2-axle prime mover and 2-axle semitrailer (HML): 1</v>
      </c>
      <c r="D34" s="10" t="s">
        <v>203</v>
      </c>
      <c r="E34" s="10" t="s">
        <v>147</v>
      </c>
      <c r="F34" s="10" t="s">
        <v>7</v>
      </c>
      <c r="G34" s="10" t="s">
        <v>3</v>
      </c>
      <c r="H34" t="s">
        <v>120</v>
      </c>
      <c r="I34" s="9">
        <v>32.5</v>
      </c>
      <c r="J34" s="14">
        <v>17.7616638764881</v>
      </c>
      <c r="K34" s="14">
        <f>Mass_Data[[#This Row],[GCM (t)]]-Mass_Data[[#This Row],[Payload (t)]]</f>
        <v>14.7383361235119</v>
      </c>
      <c r="L34" t="s">
        <v>8</v>
      </c>
      <c r="M34" t="s">
        <v>24</v>
      </c>
      <c r="N34" t="s">
        <v>30</v>
      </c>
      <c r="O34">
        <v>0</v>
      </c>
      <c r="P34">
        <v>0</v>
      </c>
      <c r="Q34">
        <v>0</v>
      </c>
      <c r="R34">
        <v>0</v>
      </c>
      <c r="S34" cm="1">
        <f t="array" ref="S34">_xlfn.XLOOKUP(Mass_Data[[#This Row],[axle group 1]]&amp;Mass_Data[[#This Row],[Mass Scheme]],Axle_Data[Axle Code]&amp;Axle_Data[Mass Scheme],Axle_Data[MDL Maximum Mass (t)],"",0)</f>
        <v>6.5</v>
      </c>
      <c r="T34" cm="1">
        <f t="array" ref="T34">_xlfn.XLOOKUP(Mass_Data[[#This Row],[axle group 2]]&amp;Mass_Data[[#This Row],[Mass Scheme]],Axle_Data[Axle Code]&amp;Axle_Data[Mass Scheme],Axle_Data[MDL Maximum Mass (t)],"",0)</f>
        <v>9</v>
      </c>
      <c r="U34" cm="1">
        <f t="array" ref="U34">_xlfn.XLOOKUP(Mass_Data[[#This Row],[axle group 3]]&amp;Mass_Data[[#This Row],[Mass Scheme]],Axle_Data[Axle Code]&amp;Axle_Data[Mass Scheme],Axle_Data[MDL Maximum Mass (t)],"",0)</f>
        <v>17</v>
      </c>
      <c r="V34" t="str" cm="1">
        <f t="array" ref="V34">_xlfn.XLOOKUP(Mass_Data[[#This Row],[axle group 4]]&amp;Mass_Data[[#This Row],[Mass Scheme]],Axle_Data[Axle Code]&amp;Axle_Data[Mass Scheme],Axle_Data[MDL Maximum Mass (t)],"",0)</f>
        <v/>
      </c>
      <c r="W34" t="str" cm="1">
        <f t="array" ref="W34">_xlfn.XLOOKUP(Mass_Data[[#This Row],[axle group 5]]&amp;Mass_Data[[#This Row],[Mass Scheme]],Axle_Data[Axle Code]&amp;Axle_Data[Mass Scheme],Axle_Data[MDL Maximum Mass (t)],"",0)</f>
        <v/>
      </c>
      <c r="X34" t="str" cm="1">
        <f t="array" ref="X34">_xlfn.XLOOKUP(Mass_Data[[#This Row],[axle group 6]]&amp;Mass_Data[[#This Row],[Mass Scheme]],Axle_Data[Axle Code]&amp;Axle_Data[Mass Scheme],Axle_Data[MDL Maximum Mass (t)],"",0)</f>
        <v/>
      </c>
      <c r="Y34" t="str" cm="1">
        <f t="array" ref="Y34">_xlfn.XLOOKUP(Mass_Data[[#This Row],[axle group 7]]&amp;Mass_Data[[#This Row],[Mass Scheme]],Axle_Data[Axle Code]&amp;Axle_Data[Mass Scheme],Axle_Data[MDL Maximum Mass (t)],"",0)</f>
        <v/>
      </c>
      <c r="Z34" s="81">
        <f>SUM(Mass_Data[[#This Row],[MDL axle group 1 mass]:[MDL axle group 7 mass]])</f>
        <v>32.5</v>
      </c>
      <c r="AA34">
        <f>Mass_Data[[#This Row],[Total (1)]]-Mass_Data[[#This Row],[GCM (t)]]</f>
        <v>0</v>
      </c>
      <c r="AB34" t="str">
        <f>IF(Mass_Data[[#This Row],[Difference between MDL and GCM]]=0,"YES","NO")</f>
        <v>YES</v>
      </c>
      <c r="AC34" s="22">
        <f>IFERROR(IF(Mass_Data[[#This Row],[Check (1)]]="YES",Mass_Data[[#This Row],[MDL axle group 1 mass]],Mass_Data[[#This Row],[MDL axle group 1 mass]]-(Mass_Data[[#This Row],[Difference between MDL and GCM]]*(Mass_Data[[#This Row],[MDL axle group 1 mass]]/Mass_Data[[#This Row],[Total (1)]]))),"")</f>
        <v>6.5</v>
      </c>
      <c r="AD34" s="22">
        <f>IFERROR(IF(Mass_Data[[#This Row],[Check (1)]]="YES",Mass_Data[[#This Row],[MDL axle group 2 mass]],Mass_Data[[#This Row],[MDL axle group 2 mass]]-(Mass_Data[[#This Row],[Difference between MDL and GCM]]*(Mass_Data[[#This Row],[MDL axle group 2 mass]]/Mass_Data[[#This Row],[Total (1)]]))),"")</f>
        <v>9</v>
      </c>
      <c r="AE34" s="22">
        <f>IFERROR(IF(Mass_Data[[#This Row],[Check (1)]]="YES",Mass_Data[[#This Row],[MDL axle group 3 mass]],Mass_Data[[#This Row],[MDL axle group 3 mass]]-(Mass_Data[[#This Row],[Difference between MDL and GCM]]*(Mass_Data[[#This Row],[MDL axle group 3 mass]]/Mass_Data[[#This Row],[Total (1)]]))),"")</f>
        <v>17</v>
      </c>
      <c r="AF34" s="22" t="str">
        <f>IFERROR(IF(Mass_Data[[#This Row],[Check (1)]]="YES",Mass_Data[[#This Row],[MDL axle group 4 mass]],Mass_Data[[#This Row],[MDL axle group 4 mass]]-(Mass_Data[[#This Row],[Difference between MDL and GCM]]*(Mass_Data[[#This Row],[MDL axle group 4 mass]]/Mass_Data[[#This Row],[Total (1)]]))),"")</f>
        <v/>
      </c>
      <c r="AG34" s="22" t="str">
        <f>IFERROR(IF(Mass_Data[[#This Row],[Check (1)]]="YES",Mass_Data[[#This Row],[MDL axle group 5 mass]],Mass_Data[[#This Row],[MDL axle group 5 mass]]-(Mass_Data[[#This Row],[Difference between MDL and GCM]]*(Mass_Data[[#This Row],[MDL axle group 5 mass]]/Mass_Data[[#This Row],[Total (1)]]))),"")</f>
        <v/>
      </c>
      <c r="AH34" s="22" t="str">
        <f>IFERROR(IF(Mass_Data[[#This Row],[Check (1)]]="YES",Mass_Data[[#This Row],[MDL axle group 6 mass]],Mass_Data[[#This Row],[MDL axle group 6 mass]]-(Mass_Data[[#This Row],[Difference between MDL and GCM]]*(Mass_Data[[#This Row],[MDL axle group 6 mass]]/Mass_Data[[#This Row],[Total (1)]]))),"")</f>
        <v/>
      </c>
      <c r="AI34" s="22" t="str">
        <f>IFERROR(IF(Mass_Data[[#This Row],[Check (1)]]="YES",Mass_Data[[#This Row],[MDL axle group 7 mass]],Mass_Data[[#This Row],[MDL axle group 7 mass]]-(Mass_Data[[#This Row],[Difference between MDL and GCM]]*(Mass_Data[[#This Row],[MDL axle group 7 mass]]/Mass_Data[[#This Row],[Total (1)]]))),"")</f>
        <v/>
      </c>
      <c r="AJ34" s="81">
        <f>SUM(Mass_Data[[#This Row],[Corrected axle group 1 mass]:[Corrected axle group 7 mass]])</f>
        <v>32.5</v>
      </c>
      <c r="AK34">
        <f>Mass_Data[[#This Row],[Total (2)]]-Mass_Data[[#This Row],[GCM (t)]]</f>
        <v>0</v>
      </c>
      <c r="AL34" s="22" t="str">
        <f>IF(Mass_Data[[#This Row],[Difference between MDL and corrected axle masses]]=0,"YES","NO")</f>
        <v>YES</v>
      </c>
    </row>
    <row r="35" spans="3:38" x14ac:dyDescent="0.35">
      <c r="C35" s="10" t="str">
        <f t="shared" si="0"/>
        <v>PBS - 3-axle prime mover and 2-axle semitrailer (GML): 1</v>
      </c>
      <c r="D35" s="10" t="s">
        <v>201</v>
      </c>
      <c r="E35" s="10" t="s">
        <v>147</v>
      </c>
      <c r="F35" s="10" t="s">
        <v>18</v>
      </c>
      <c r="G35" s="10" t="s">
        <v>3</v>
      </c>
      <c r="H35" t="s">
        <v>121</v>
      </c>
      <c r="I35" s="9">
        <v>39.5</v>
      </c>
      <c r="J35" s="14">
        <v>21.487336592060824</v>
      </c>
      <c r="K35" s="14">
        <f>Mass_Data[[#This Row],[GCM (t)]]-Mass_Data[[#This Row],[Payload (t)]]</f>
        <v>18.012663407939176</v>
      </c>
      <c r="L35" t="s">
        <v>8</v>
      </c>
      <c r="M35" t="s">
        <v>9</v>
      </c>
      <c r="N35" t="s">
        <v>30</v>
      </c>
      <c r="O35">
        <v>0</v>
      </c>
      <c r="P35">
        <v>0</v>
      </c>
      <c r="Q35">
        <v>0</v>
      </c>
      <c r="R35">
        <v>0</v>
      </c>
      <c r="S35" cm="1">
        <f t="array" ref="S35">_xlfn.XLOOKUP(Mass_Data[[#This Row],[axle group 1]]&amp;Mass_Data[[#This Row],[Mass Scheme]],Axle_Data[Axle Code]&amp;Axle_Data[Mass Scheme],Axle_Data[MDL Maximum Mass (t)],"",0)</f>
        <v>6.5</v>
      </c>
      <c r="T35" cm="1">
        <f t="array" ref="T35">_xlfn.XLOOKUP(Mass_Data[[#This Row],[axle group 2]]&amp;Mass_Data[[#This Row],[Mass Scheme]],Axle_Data[Axle Code]&amp;Axle_Data[Mass Scheme],Axle_Data[MDL Maximum Mass (t)],"",0)</f>
        <v>16.5</v>
      </c>
      <c r="U35" cm="1">
        <f t="array" ref="U35">_xlfn.XLOOKUP(Mass_Data[[#This Row],[axle group 3]]&amp;Mass_Data[[#This Row],[Mass Scheme]],Axle_Data[Axle Code]&amp;Axle_Data[Mass Scheme],Axle_Data[MDL Maximum Mass (t)],"",0)</f>
        <v>16.5</v>
      </c>
      <c r="V35" t="str" cm="1">
        <f t="array" ref="V35">_xlfn.XLOOKUP(Mass_Data[[#This Row],[axle group 4]]&amp;Mass_Data[[#This Row],[Mass Scheme]],Axle_Data[Axle Code]&amp;Axle_Data[Mass Scheme],Axle_Data[MDL Maximum Mass (t)],"",0)</f>
        <v/>
      </c>
      <c r="W35" t="str" cm="1">
        <f t="array" ref="W35">_xlfn.XLOOKUP(Mass_Data[[#This Row],[axle group 5]]&amp;Mass_Data[[#This Row],[Mass Scheme]],Axle_Data[Axle Code]&amp;Axle_Data[Mass Scheme],Axle_Data[MDL Maximum Mass (t)],"",0)</f>
        <v/>
      </c>
      <c r="X35" t="str" cm="1">
        <f t="array" ref="X35">_xlfn.XLOOKUP(Mass_Data[[#This Row],[axle group 6]]&amp;Mass_Data[[#This Row],[Mass Scheme]],Axle_Data[Axle Code]&amp;Axle_Data[Mass Scheme],Axle_Data[MDL Maximum Mass (t)],"",0)</f>
        <v/>
      </c>
      <c r="Y35" t="str" cm="1">
        <f t="array" ref="Y35">_xlfn.XLOOKUP(Mass_Data[[#This Row],[axle group 7]]&amp;Mass_Data[[#This Row],[Mass Scheme]],Axle_Data[Axle Code]&amp;Axle_Data[Mass Scheme],Axle_Data[MDL Maximum Mass (t)],"",0)</f>
        <v/>
      </c>
      <c r="Z35" s="81">
        <f>SUM(Mass_Data[[#This Row],[MDL axle group 1 mass]:[MDL axle group 7 mass]])</f>
        <v>39.5</v>
      </c>
      <c r="AA35">
        <f>Mass_Data[[#This Row],[Total (1)]]-Mass_Data[[#This Row],[GCM (t)]]</f>
        <v>0</v>
      </c>
      <c r="AB35" t="str">
        <f>IF(Mass_Data[[#This Row],[Difference between MDL and GCM]]=0,"YES","NO")</f>
        <v>YES</v>
      </c>
      <c r="AC35" s="22">
        <f>IFERROR(IF(Mass_Data[[#This Row],[Check (1)]]="YES",Mass_Data[[#This Row],[MDL axle group 1 mass]],Mass_Data[[#This Row],[MDL axle group 1 mass]]-(Mass_Data[[#This Row],[Difference between MDL and GCM]]*(Mass_Data[[#This Row],[MDL axle group 1 mass]]/Mass_Data[[#This Row],[Total (1)]]))),"")</f>
        <v>6.5</v>
      </c>
      <c r="AD35" s="22">
        <f>IFERROR(IF(Mass_Data[[#This Row],[Check (1)]]="YES",Mass_Data[[#This Row],[MDL axle group 2 mass]],Mass_Data[[#This Row],[MDL axle group 2 mass]]-(Mass_Data[[#This Row],[Difference between MDL and GCM]]*(Mass_Data[[#This Row],[MDL axle group 2 mass]]/Mass_Data[[#This Row],[Total (1)]]))),"")</f>
        <v>16.5</v>
      </c>
      <c r="AE35" s="22">
        <f>IFERROR(IF(Mass_Data[[#This Row],[Check (1)]]="YES",Mass_Data[[#This Row],[MDL axle group 3 mass]],Mass_Data[[#This Row],[MDL axle group 3 mass]]-(Mass_Data[[#This Row],[Difference between MDL and GCM]]*(Mass_Data[[#This Row],[MDL axle group 3 mass]]/Mass_Data[[#This Row],[Total (1)]]))),"")</f>
        <v>16.5</v>
      </c>
      <c r="AF35" s="22" t="str">
        <f>IFERROR(IF(Mass_Data[[#This Row],[Check (1)]]="YES",Mass_Data[[#This Row],[MDL axle group 4 mass]],Mass_Data[[#This Row],[MDL axle group 4 mass]]-(Mass_Data[[#This Row],[Difference between MDL and GCM]]*(Mass_Data[[#This Row],[MDL axle group 4 mass]]/Mass_Data[[#This Row],[Total (1)]]))),"")</f>
        <v/>
      </c>
      <c r="AG35" s="22" t="str">
        <f>IFERROR(IF(Mass_Data[[#This Row],[Check (1)]]="YES",Mass_Data[[#This Row],[MDL axle group 5 mass]],Mass_Data[[#This Row],[MDL axle group 5 mass]]-(Mass_Data[[#This Row],[Difference between MDL and GCM]]*(Mass_Data[[#This Row],[MDL axle group 5 mass]]/Mass_Data[[#This Row],[Total (1)]]))),"")</f>
        <v/>
      </c>
      <c r="AH35" s="22" t="str">
        <f>IFERROR(IF(Mass_Data[[#This Row],[Check (1)]]="YES",Mass_Data[[#This Row],[MDL axle group 6 mass]],Mass_Data[[#This Row],[MDL axle group 6 mass]]-(Mass_Data[[#This Row],[Difference between MDL and GCM]]*(Mass_Data[[#This Row],[MDL axle group 6 mass]]/Mass_Data[[#This Row],[Total (1)]]))),"")</f>
        <v/>
      </c>
      <c r="AI35" s="22" t="str">
        <f>IFERROR(IF(Mass_Data[[#This Row],[Check (1)]]="YES",Mass_Data[[#This Row],[MDL axle group 7 mass]],Mass_Data[[#This Row],[MDL axle group 7 mass]]-(Mass_Data[[#This Row],[Difference between MDL and GCM]]*(Mass_Data[[#This Row],[MDL axle group 7 mass]]/Mass_Data[[#This Row],[Total (1)]]))),"")</f>
        <v/>
      </c>
      <c r="AJ35" s="81">
        <f>SUM(Mass_Data[[#This Row],[Corrected axle group 1 mass]:[Corrected axle group 7 mass]])</f>
        <v>39.5</v>
      </c>
      <c r="AK35">
        <f>Mass_Data[[#This Row],[Total (2)]]-Mass_Data[[#This Row],[GCM (t)]]</f>
        <v>0</v>
      </c>
      <c r="AL35" s="22" t="str">
        <f>IF(Mass_Data[[#This Row],[Difference between MDL and corrected axle masses]]=0,"YES","NO")</f>
        <v>YES</v>
      </c>
    </row>
    <row r="36" spans="3:38" x14ac:dyDescent="0.35">
      <c r="C36" s="10" t="str">
        <f t="shared" si="0"/>
        <v>PBS - 3-axle prime mover and 2-axle semitrailer (CML): 1</v>
      </c>
      <c r="D36" s="10" t="s">
        <v>201</v>
      </c>
      <c r="E36" s="10" t="s">
        <v>147</v>
      </c>
      <c r="F36" s="10" t="s">
        <v>20</v>
      </c>
      <c r="G36" s="10" t="s">
        <v>3</v>
      </c>
      <c r="H36" t="s">
        <v>121</v>
      </c>
      <c r="I36" s="9">
        <v>40.5</v>
      </c>
      <c r="J36" s="14">
        <v>22.487336592060824</v>
      </c>
      <c r="K36" s="14">
        <f>Mass_Data[[#This Row],[GCM (t)]]-Mass_Data[[#This Row],[Payload (t)]]</f>
        <v>18.012663407939176</v>
      </c>
      <c r="L36" t="s">
        <v>8</v>
      </c>
      <c r="M36" t="s">
        <v>9</v>
      </c>
      <c r="N36" t="s">
        <v>30</v>
      </c>
      <c r="O36">
        <v>0</v>
      </c>
      <c r="P36">
        <v>0</v>
      </c>
      <c r="Q36">
        <v>0</v>
      </c>
      <c r="R36">
        <v>0</v>
      </c>
      <c r="S36" cm="1">
        <f t="array" ref="S36">_xlfn.XLOOKUP(Mass_Data[[#This Row],[axle group 1]]&amp;Mass_Data[[#This Row],[Mass Scheme]],Axle_Data[Axle Code]&amp;Axle_Data[Mass Scheme],Axle_Data[MDL Maximum Mass (t)],"",0)</f>
        <v>6.5</v>
      </c>
      <c r="T36" cm="1">
        <f t="array" ref="T36">_xlfn.XLOOKUP(Mass_Data[[#This Row],[axle group 2]]&amp;Mass_Data[[#This Row],[Mass Scheme]],Axle_Data[Axle Code]&amp;Axle_Data[Mass Scheme],Axle_Data[MDL Maximum Mass (t)],"",0)</f>
        <v>17</v>
      </c>
      <c r="U36" cm="1">
        <f t="array" ref="U36">_xlfn.XLOOKUP(Mass_Data[[#This Row],[axle group 3]]&amp;Mass_Data[[#This Row],[Mass Scheme]],Axle_Data[Axle Code]&amp;Axle_Data[Mass Scheme],Axle_Data[MDL Maximum Mass (t)],"",0)</f>
        <v>17</v>
      </c>
      <c r="V36" t="str" cm="1">
        <f t="array" ref="V36">_xlfn.XLOOKUP(Mass_Data[[#This Row],[axle group 4]]&amp;Mass_Data[[#This Row],[Mass Scheme]],Axle_Data[Axle Code]&amp;Axle_Data[Mass Scheme],Axle_Data[MDL Maximum Mass (t)],"",0)</f>
        <v/>
      </c>
      <c r="W36" t="str" cm="1">
        <f t="array" ref="W36">_xlfn.XLOOKUP(Mass_Data[[#This Row],[axle group 5]]&amp;Mass_Data[[#This Row],[Mass Scheme]],Axle_Data[Axle Code]&amp;Axle_Data[Mass Scheme],Axle_Data[MDL Maximum Mass (t)],"",0)</f>
        <v/>
      </c>
      <c r="X36" t="str" cm="1">
        <f t="array" ref="X36">_xlfn.XLOOKUP(Mass_Data[[#This Row],[axle group 6]]&amp;Mass_Data[[#This Row],[Mass Scheme]],Axle_Data[Axle Code]&amp;Axle_Data[Mass Scheme],Axle_Data[MDL Maximum Mass (t)],"",0)</f>
        <v/>
      </c>
      <c r="Y36" t="str" cm="1">
        <f t="array" ref="Y36">_xlfn.XLOOKUP(Mass_Data[[#This Row],[axle group 7]]&amp;Mass_Data[[#This Row],[Mass Scheme]],Axle_Data[Axle Code]&amp;Axle_Data[Mass Scheme],Axle_Data[MDL Maximum Mass (t)],"",0)</f>
        <v/>
      </c>
      <c r="Z36" s="81">
        <f>SUM(Mass_Data[[#This Row],[MDL axle group 1 mass]:[MDL axle group 7 mass]])</f>
        <v>40.5</v>
      </c>
      <c r="AA36">
        <f>Mass_Data[[#This Row],[Total (1)]]-Mass_Data[[#This Row],[GCM (t)]]</f>
        <v>0</v>
      </c>
      <c r="AB36" t="str">
        <f>IF(Mass_Data[[#This Row],[Difference between MDL and GCM]]=0,"YES","NO")</f>
        <v>YES</v>
      </c>
      <c r="AC36" s="22">
        <f>IFERROR(IF(Mass_Data[[#This Row],[Check (1)]]="YES",Mass_Data[[#This Row],[MDL axle group 1 mass]],Mass_Data[[#This Row],[MDL axle group 1 mass]]-(Mass_Data[[#This Row],[Difference between MDL and GCM]]*(Mass_Data[[#This Row],[MDL axle group 1 mass]]/Mass_Data[[#This Row],[Total (1)]]))),"")</f>
        <v>6.5</v>
      </c>
      <c r="AD36" s="22">
        <f>IFERROR(IF(Mass_Data[[#This Row],[Check (1)]]="YES",Mass_Data[[#This Row],[MDL axle group 2 mass]],Mass_Data[[#This Row],[MDL axle group 2 mass]]-(Mass_Data[[#This Row],[Difference between MDL and GCM]]*(Mass_Data[[#This Row],[MDL axle group 2 mass]]/Mass_Data[[#This Row],[Total (1)]]))),"")</f>
        <v>17</v>
      </c>
      <c r="AE36" s="22">
        <f>IFERROR(IF(Mass_Data[[#This Row],[Check (1)]]="YES",Mass_Data[[#This Row],[MDL axle group 3 mass]],Mass_Data[[#This Row],[MDL axle group 3 mass]]-(Mass_Data[[#This Row],[Difference between MDL and GCM]]*(Mass_Data[[#This Row],[MDL axle group 3 mass]]/Mass_Data[[#This Row],[Total (1)]]))),"")</f>
        <v>17</v>
      </c>
      <c r="AF36" s="22" t="str">
        <f>IFERROR(IF(Mass_Data[[#This Row],[Check (1)]]="YES",Mass_Data[[#This Row],[MDL axle group 4 mass]],Mass_Data[[#This Row],[MDL axle group 4 mass]]-(Mass_Data[[#This Row],[Difference between MDL and GCM]]*(Mass_Data[[#This Row],[MDL axle group 4 mass]]/Mass_Data[[#This Row],[Total (1)]]))),"")</f>
        <v/>
      </c>
      <c r="AG36" s="22" t="str">
        <f>IFERROR(IF(Mass_Data[[#This Row],[Check (1)]]="YES",Mass_Data[[#This Row],[MDL axle group 5 mass]],Mass_Data[[#This Row],[MDL axle group 5 mass]]-(Mass_Data[[#This Row],[Difference between MDL and GCM]]*(Mass_Data[[#This Row],[MDL axle group 5 mass]]/Mass_Data[[#This Row],[Total (1)]]))),"")</f>
        <v/>
      </c>
      <c r="AH36" s="22" t="str">
        <f>IFERROR(IF(Mass_Data[[#This Row],[Check (1)]]="YES",Mass_Data[[#This Row],[MDL axle group 6 mass]],Mass_Data[[#This Row],[MDL axle group 6 mass]]-(Mass_Data[[#This Row],[Difference between MDL and GCM]]*(Mass_Data[[#This Row],[MDL axle group 6 mass]]/Mass_Data[[#This Row],[Total (1)]]))),"")</f>
        <v/>
      </c>
      <c r="AI36" s="22" t="str">
        <f>IFERROR(IF(Mass_Data[[#This Row],[Check (1)]]="YES",Mass_Data[[#This Row],[MDL axle group 7 mass]],Mass_Data[[#This Row],[MDL axle group 7 mass]]-(Mass_Data[[#This Row],[Difference between MDL and GCM]]*(Mass_Data[[#This Row],[MDL axle group 7 mass]]/Mass_Data[[#This Row],[Total (1)]]))),"")</f>
        <v/>
      </c>
      <c r="AJ36" s="81">
        <f>SUM(Mass_Data[[#This Row],[Corrected axle group 1 mass]:[Corrected axle group 7 mass]])</f>
        <v>40.5</v>
      </c>
      <c r="AK36">
        <f>Mass_Data[[#This Row],[Total (2)]]-Mass_Data[[#This Row],[GCM (t)]]</f>
        <v>0</v>
      </c>
      <c r="AL36" s="22" t="str">
        <f>IF(Mass_Data[[#This Row],[Difference between MDL and corrected axle masses]]=0,"YES","NO")</f>
        <v>YES</v>
      </c>
    </row>
    <row r="37" spans="3:38" x14ac:dyDescent="0.35">
      <c r="C37" s="10" t="str">
        <f t="shared" si="0"/>
        <v>PBS - 3-axle prime mover and 2-axle semitrailer (HML): 1</v>
      </c>
      <c r="D37" s="10" t="s">
        <v>201</v>
      </c>
      <c r="E37" s="10" t="s">
        <v>147</v>
      </c>
      <c r="F37" s="10" t="s">
        <v>7</v>
      </c>
      <c r="G37" s="10" t="s">
        <v>3</v>
      </c>
      <c r="H37" t="s">
        <v>121</v>
      </c>
      <c r="I37" s="9">
        <v>40.5</v>
      </c>
      <c r="J37" s="14">
        <v>22.487336592060824</v>
      </c>
      <c r="K37" s="14">
        <f>Mass_Data[[#This Row],[GCM (t)]]-Mass_Data[[#This Row],[Payload (t)]]</f>
        <v>18.012663407939176</v>
      </c>
      <c r="L37" t="s">
        <v>8</v>
      </c>
      <c r="M37" t="s">
        <v>9</v>
      </c>
      <c r="N37" t="s">
        <v>30</v>
      </c>
      <c r="O37">
        <v>0</v>
      </c>
      <c r="P37">
        <v>0</v>
      </c>
      <c r="Q37">
        <v>0</v>
      </c>
      <c r="R37">
        <v>0</v>
      </c>
      <c r="S37" cm="1">
        <f t="array" ref="S37">_xlfn.XLOOKUP(Mass_Data[[#This Row],[axle group 1]]&amp;Mass_Data[[#This Row],[Mass Scheme]],Axle_Data[Axle Code]&amp;Axle_Data[Mass Scheme],Axle_Data[MDL Maximum Mass (t)],"",0)</f>
        <v>6.5</v>
      </c>
      <c r="T37" cm="1">
        <f t="array" ref="T37">_xlfn.XLOOKUP(Mass_Data[[#This Row],[axle group 2]]&amp;Mass_Data[[#This Row],[Mass Scheme]],Axle_Data[Axle Code]&amp;Axle_Data[Mass Scheme],Axle_Data[MDL Maximum Mass (t)],"",0)</f>
        <v>17</v>
      </c>
      <c r="U37" cm="1">
        <f t="array" ref="U37">_xlfn.XLOOKUP(Mass_Data[[#This Row],[axle group 3]]&amp;Mass_Data[[#This Row],[Mass Scheme]],Axle_Data[Axle Code]&amp;Axle_Data[Mass Scheme],Axle_Data[MDL Maximum Mass (t)],"",0)</f>
        <v>17</v>
      </c>
      <c r="V37" t="str" cm="1">
        <f t="array" ref="V37">_xlfn.XLOOKUP(Mass_Data[[#This Row],[axle group 4]]&amp;Mass_Data[[#This Row],[Mass Scheme]],Axle_Data[Axle Code]&amp;Axle_Data[Mass Scheme],Axle_Data[MDL Maximum Mass (t)],"",0)</f>
        <v/>
      </c>
      <c r="W37" t="str" cm="1">
        <f t="array" ref="W37">_xlfn.XLOOKUP(Mass_Data[[#This Row],[axle group 5]]&amp;Mass_Data[[#This Row],[Mass Scheme]],Axle_Data[Axle Code]&amp;Axle_Data[Mass Scheme],Axle_Data[MDL Maximum Mass (t)],"",0)</f>
        <v/>
      </c>
      <c r="X37" t="str" cm="1">
        <f t="array" ref="X37">_xlfn.XLOOKUP(Mass_Data[[#This Row],[axle group 6]]&amp;Mass_Data[[#This Row],[Mass Scheme]],Axle_Data[Axle Code]&amp;Axle_Data[Mass Scheme],Axle_Data[MDL Maximum Mass (t)],"",0)</f>
        <v/>
      </c>
      <c r="Y37" t="str" cm="1">
        <f t="array" ref="Y37">_xlfn.XLOOKUP(Mass_Data[[#This Row],[axle group 7]]&amp;Mass_Data[[#This Row],[Mass Scheme]],Axle_Data[Axle Code]&amp;Axle_Data[Mass Scheme],Axle_Data[MDL Maximum Mass (t)],"",0)</f>
        <v/>
      </c>
      <c r="Z37" s="81">
        <f>SUM(Mass_Data[[#This Row],[MDL axle group 1 mass]:[MDL axle group 7 mass]])</f>
        <v>40.5</v>
      </c>
      <c r="AA37">
        <f>Mass_Data[[#This Row],[Total (1)]]-Mass_Data[[#This Row],[GCM (t)]]</f>
        <v>0</v>
      </c>
      <c r="AB37" t="str">
        <f>IF(Mass_Data[[#This Row],[Difference between MDL and GCM]]=0,"YES","NO")</f>
        <v>YES</v>
      </c>
      <c r="AC37" s="22">
        <f>IFERROR(IF(Mass_Data[[#This Row],[Check (1)]]="YES",Mass_Data[[#This Row],[MDL axle group 1 mass]],Mass_Data[[#This Row],[MDL axle group 1 mass]]-(Mass_Data[[#This Row],[Difference between MDL and GCM]]*(Mass_Data[[#This Row],[MDL axle group 1 mass]]/Mass_Data[[#This Row],[Total (1)]]))),"")</f>
        <v>6.5</v>
      </c>
      <c r="AD37" s="22">
        <f>IFERROR(IF(Mass_Data[[#This Row],[Check (1)]]="YES",Mass_Data[[#This Row],[MDL axle group 2 mass]],Mass_Data[[#This Row],[MDL axle group 2 mass]]-(Mass_Data[[#This Row],[Difference between MDL and GCM]]*(Mass_Data[[#This Row],[MDL axle group 2 mass]]/Mass_Data[[#This Row],[Total (1)]]))),"")</f>
        <v>17</v>
      </c>
      <c r="AE37" s="22">
        <f>IFERROR(IF(Mass_Data[[#This Row],[Check (1)]]="YES",Mass_Data[[#This Row],[MDL axle group 3 mass]],Mass_Data[[#This Row],[MDL axle group 3 mass]]-(Mass_Data[[#This Row],[Difference between MDL and GCM]]*(Mass_Data[[#This Row],[MDL axle group 3 mass]]/Mass_Data[[#This Row],[Total (1)]]))),"")</f>
        <v>17</v>
      </c>
      <c r="AF37" s="22" t="str">
        <f>IFERROR(IF(Mass_Data[[#This Row],[Check (1)]]="YES",Mass_Data[[#This Row],[MDL axle group 4 mass]],Mass_Data[[#This Row],[MDL axle group 4 mass]]-(Mass_Data[[#This Row],[Difference between MDL and GCM]]*(Mass_Data[[#This Row],[MDL axle group 4 mass]]/Mass_Data[[#This Row],[Total (1)]]))),"")</f>
        <v/>
      </c>
      <c r="AG37" s="22" t="str">
        <f>IFERROR(IF(Mass_Data[[#This Row],[Check (1)]]="YES",Mass_Data[[#This Row],[MDL axle group 5 mass]],Mass_Data[[#This Row],[MDL axle group 5 mass]]-(Mass_Data[[#This Row],[Difference between MDL and GCM]]*(Mass_Data[[#This Row],[MDL axle group 5 mass]]/Mass_Data[[#This Row],[Total (1)]]))),"")</f>
        <v/>
      </c>
      <c r="AH37" s="22" t="str">
        <f>IFERROR(IF(Mass_Data[[#This Row],[Check (1)]]="YES",Mass_Data[[#This Row],[MDL axle group 6 mass]],Mass_Data[[#This Row],[MDL axle group 6 mass]]-(Mass_Data[[#This Row],[Difference between MDL and GCM]]*(Mass_Data[[#This Row],[MDL axle group 6 mass]]/Mass_Data[[#This Row],[Total (1)]]))),"")</f>
        <v/>
      </c>
      <c r="AI37" s="22" t="str">
        <f>IFERROR(IF(Mass_Data[[#This Row],[Check (1)]]="YES",Mass_Data[[#This Row],[MDL axle group 7 mass]],Mass_Data[[#This Row],[MDL axle group 7 mass]]-(Mass_Data[[#This Row],[Difference between MDL and GCM]]*(Mass_Data[[#This Row],[MDL axle group 7 mass]]/Mass_Data[[#This Row],[Total (1)]]))),"")</f>
        <v/>
      </c>
      <c r="AJ37" s="81">
        <f>SUM(Mass_Data[[#This Row],[Corrected axle group 1 mass]:[Corrected axle group 7 mass]])</f>
        <v>40.5</v>
      </c>
      <c r="AK37">
        <f>Mass_Data[[#This Row],[Total (2)]]-Mass_Data[[#This Row],[GCM (t)]]</f>
        <v>0</v>
      </c>
      <c r="AL37" s="22" t="str">
        <f>IF(Mass_Data[[#This Row],[Difference between MDL and corrected axle masses]]=0,"YES","NO")</f>
        <v>YES</v>
      </c>
    </row>
    <row r="38" spans="3:38" x14ac:dyDescent="0.35">
      <c r="C38" s="10" t="str">
        <f t="shared" si="0"/>
        <v>PBS - 3-axle prime mover and 3-axle semitrailer (GML): 1</v>
      </c>
      <c r="D38" s="10" t="s">
        <v>199</v>
      </c>
      <c r="E38" s="10" t="s">
        <v>147</v>
      </c>
      <c r="F38" s="10" t="s">
        <v>18</v>
      </c>
      <c r="G38" s="10" t="s">
        <v>3</v>
      </c>
      <c r="H38" t="s">
        <v>55</v>
      </c>
      <c r="I38" s="9">
        <v>43</v>
      </c>
      <c r="J38" s="14">
        <v>24.968580510030989</v>
      </c>
      <c r="K38" s="14">
        <f>Mass_Data[[#This Row],[GCM (t)]]-Mass_Data[[#This Row],[Payload (t)]]</f>
        <v>18.031419489969011</v>
      </c>
      <c r="L38" t="s">
        <v>8</v>
      </c>
      <c r="M38" t="s">
        <v>9</v>
      </c>
      <c r="N38" t="s">
        <v>10</v>
      </c>
      <c r="O38">
        <v>0</v>
      </c>
      <c r="P38">
        <v>0</v>
      </c>
      <c r="Q38">
        <v>0</v>
      </c>
      <c r="R38">
        <v>0</v>
      </c>
      <c r="S38" cm="1">
        <f t="array" ref="S38">_xlfn.XLOOKUP(Mass_Data[[#This Row],[axle group 1]]&amp;Mass_Data[[#This Row],[Mass Scheme]],Axle_Data[Axle Code]&amp;Axle_Data[Mass Scheme],Axle_Data[MDL Maximum Mass (t)],"",0)</f>
        <v>6.5</v>
      </c>
      <c r="T38" cm="1">
        <f t="array" ref="T38">_xlfn.XLOOKUP(Mass_Data[[#This Row],[axle group 2]]&amp;Mass_Data[[#This Row],[Mass Scheme]],Axle_Data[Axle Code]&amp;Axle_Data[Mass Scheme],Axle_Data[MDL Maximum Mass (t)],"",0)</f>
        <v>16.5</v>
      </c>
      <c r="U38" cm="1">
        <f t="array" ref="U38">_xlfn.XLOOKUP(Mass_Data[[#This Row],[axle group 3]]&amp;Mass_Data[[#This Row],[Mass Scheme]],Axle_Data[Axle Code]&amp;Axle_Data[Mass Scheme],Axle_Data[MDL Maximum Mass (t)],"",0)</f>
        <v>20</v>
      </c>
      <c r="V38" t="str" cm="1">
        <f t="array" ref="V38">_xlfn.XLOOKUP(Mass_Data[[#This Row],[axle group 4]]&amp;Mass_Data[[#This Row],[Mass Scheme]],Axle_Data[Axle Code]&amp;Axle_Data[Mass Scheme],Axle_Data[MDL Maximum Mass (t)],"",0)</f>
        <v/>
      </c>
      <c r="W38" t="str" cm="1">
        <f t="array" ref="W38">_xlfn.XLOOKUP(Mass_Data[[#This Row],[axle group 5]]&amp;Mass_Data[[#This Row],[Mass Scheme]],Axle_Data[Axle Code]&amp;Axle_Data[Mass Scheme],Axle_Data[MDL Maximum Mass (t)],"",0)</f>
        <v/>
      </c>
      <c r="X38" t="str" cm="1">
        <f t="array" ref="X38">_xlfn.XLOOKUP(Mass_Data[[#This Row],[axle group 6]]&amp;Mass_Data[[#This Row],[Mass Scheme]],Axle_Data[Axle Code]&amp;Axle_Data[Mass Scheme],Axle_Data[MDL Maximum Mass (t)],"",0)</f>
        <v/>
      </c>
      <c r="Y38" t="str" cm="1">
        <f t="array" ref="Y38">_xlfn.XLOOKUP(Mass_Data[[#This Row],[axle group 7]]&amp;Mass_Data[[#This Row],[Mass Scheme]],Axle_Data[Axle Code]&amp;Axle_Data[Mass Scheme],Axle_Data[MDL Maximum Mass (t)],"",0)</f>
        <v/>
      </c>
      <c r="Z38" s="81">
        <f>SUM(Mass_Data[[#This Row],[MDL axle group 1 mass]:[MDL axle group 7 mass]])</f>
        <v>43</v>
      </c>
      <c r="AA38">
        <f>Mass_Data[[#This Row],[Total (1)]]-Mass_Data[[#This Row],[GCM (t)]]</f>
        <v>0</v>
      </c>
      <c r="AB38" t="str">
        <f>IF(Mass_Data[[#This Row],[Difference between MDL and GCM]]=0,"YES","NO")</f>
        <v>YES</v>
      </c>
      <c r="AC38" s="22">
        <f>IFERROR(IF(Mass_Data[[#This Row],[Check (1)]]="YES",Mass_Data[[#This Row],[MDL axle group 1 mass]],Mass_Data[[#This Row],[MDL axle group 1 mass]]-(Mass_Data[[#This Row],[Difference between MDL and GCM]]*(Mass_Data[[#This Row],[MDL axle group 1 mass]]/Mass_Data[[#This Row],[Total (1)]]))),"")</f>
        <v>6.5</v>
      </c>
      <c r="AD38" s="22">
        <f>IFERROR(IF(Mass_Data[[#This Row],[Check (1)]]="YES",Mass_Data[[#This Row],[MDL axle group 2 mass]],Mass_Data[[#This Row],[MDL axle group 2 mass]]-(Mass_Data[[#This Row],[Difference between MDL and GCM]]*(Mass_Data[[#This Row],[MDL axle group 2 mass]]/Mass_Data[[#This Row],[Total (1)]]))),"")</f>
        <v>16.5</v>
      </c>
      <c r="AE38" s="22">
        <f>IFERROR(IF(Mass_Data[[#This Row],[Check (1)]]="YES",Mass_Data[[#This Row],[MDL axle group 3 mass]],Mass_Data[[#This Row],[MDL axle group 3 mass]]-(Mass_Data[[#This Row],[Difference between MDL and GCM]]*(Mass_Data[[#This Row],[MDL axle group 3 mass]]/Mass_Data[[#This Row],[Total (1)]]))),"")</f>
        <v>20</v>
      </c>
      <c r="AF38" s="22" t="str">
        <f>IFERROR(IF(Mass_Data[[#This Row],[Check (1)]]="YES",Mass_Data[[#This Row],[MDL axle group 4 mass]],Mass_Data[[#This Row],[MDL axle group 4 mass]]-(Mass_Data[[#This Row],[Difference between MDL and GCM]]*(Mass_Data[[#This Row],[MDL axle group 4 mass]]/Mass_Data[[#This Row],[Total (1)]]))),"")</f>
        <v/>
      </c>
      <c r="AG38" s="22" t="str">
        <f>IFERROR(IF(Mass_Data[[#This Row],[Check (1)]]="YES",Mass_Data[[#This Row],[MDL axle group 5 mass]],Mass_Data[[#This Row],[MDL axle group 5 mass]]-(Mass_Data[[#This Row],[Difference between MDL and GCM]]*(Mass_Data[[#This Row],[MDL axle group 5 mass]]/Mass_Data[[#This Row],[Total (1)]]))),"")</f>
        <v/>
      </c>
      <c r="AH38" s="22" t="str">
        <f>IFERROR(IF(Mass_Data[[#This Row],[Check (1)]]="YES",Mass_Data[[#This Row],[MDL axle group 6 mass]],Mass_Data[[#This Row],[MDL axle group 6 mass]]-(Mass_Data[[#This Row],[Difference between MDL and GCM]]*(Mass_Data[[#This Row],[MDL axle group 6 mass]]/Mass_Data[[#This Row],[Total (1)]]))),"")</f>
        <v/>
      </c>
      <c r="AI38" s="22" t="str">
        <f>IFERROR(IF(Mass_Data[[#This Row],[Check (1)]]="YES",Mass_Data[[#This Row],[MDL axle group 7 mass]],Mass_Data[[#This Row],[MDL axle group 7 mass]]-(Mass_Data[[#This Row],[Difference between MDL and GCM]]*(Mass_Data[[#This Row],[MDL axle group 7 mass]]/Mass_Data[[#This Row],[Total (1)]]))),"")</f>
        <v/>
      </c>
      <c r="AJ38" s="81">
        <f>SUM(Mass_Data[[#This Row],[Corrected axle group 1 mass]:[Corrected axle group 7 mass]])</f>
        <v>43</v>
      </c>
      <c r="AK38">
        <f>Mass_Data[[#This Row],[Total (2)]]-Mass_Data[[#This Row],[GCM (t)]]</f>
        <v>0</v>
      </c>
      <c r="AL38" s="22" t="str">
        <f>IF(Mass_Data[[#This Row],[Difference between MDL and corrected axle masses]]=0,"YES","NO")</f>
        <v>YES</v>
      </c>
    </row>
    <row r="39" spans="3:38" x14ac:dyDescent="0.35">
      <c r="C39" s="10" t="str">
        <f t="shared" si="0"/>
        <v>PBS - 3-axle prime mover and 3-axle semitrailer (CML): 1</v>
      </c>
      <c r="D39" s="10" t="s">
        <v>199</v>
      </c>
      <c r="E39" s="10" t="s">
        <v>147</v>
      </c>
      <c r="F39" s="10" t="s">
        <v>20</v>
      </c>
      <c r="G39" s="10" t="s">
        <v>3</v>
      </c>
      <c r="H39" t="s">
        <v>55</v>
      </c>
      <c r="I39" s="9">
        <v>44</v>
      </c>
      <c r="J39" s="14">
        <v>25.968580510030989</v>
      </c>
      <c r="K39" s="14">
        <f>Mass_Data[[#This Row],[GCM (t)]]-Mass_Data[[#This Row],[Payload (t)]]</f>
        <v>18.031419489969011</v>
      </c>
      <c r="L39" t="s">
        <v>8</v>
      </c>
      <c r="M39" t="s">
        <v>9</v>
      </c>
      <c r="N39" t="s">
        <v>10</v>
      </c>
      <c r="O39">
        <v>0</v>
      </c>
      <c r="P39">
        <v>0</v>
      </c>
      <c r="Q39">
        <v>0</v>
      </c>
      <c r="R39">
        <v>0</v>
      </c>
      <c r="S39" cm="1">
        <f t="array" ref="S39">_xlfn.XLOOKUP(Mass_Data[[#This Row],[axle group 1]]&amp;Mass_Data[[#This Row],[Mass Scheme]],Axle_Data[Axle Code]&amp;Axle_Data[Mass Scheme],Axle_Data[MDL Maximum Mass (t)],"",0)</f>
        <v>6.5</v>
      </c>
      <c r="T39" cm="1">
        <f t="array" ref="T39">_xlfn.XLOOKUP(Mass_Data[[#This Row],[axle group 2]]&amp;Mass_Data[[#This Row],[Mass Scheme]],Axle_Data[Axle Code]&amp;Axle_Data[Mass Scheme],Axle_Data[MDL Maximum Mass (t)],"",0)</f>
        <v>17</v>
      </c>
      <c r="U39" cm="1">
        <f t="array" ref="U39">_xlfn.XLOOKUP(Mass_Data[[#This Row],[axle group 3]]&amp;Mass_Data[[#This Row],[Mass Scheme]],Axle_Data[Axle Code]&amp;Axle_Data[Mass Scheme],Axle_Data[MDL Maximum Mass (t)],"",0)</f>
        <v>21</v>
      </c>
      <c r="V39" t="str" cm="1">
        <f t="array" ref="V39">_xlfn.XLOOKUP(Mass_Data[[#This Row],[axle group 4]]&amp;Mass_Data[[#This Row],[Mass Scheme]],Axle_Data[Axle Code]&amp;Axle_Data[Mass Scheme],Axle_Data[MDL Maximum Mass (t)],"",0)</f>
        <v/>
      </c>
      <c r="W39" t="str" cm="1">
        <f t="array" ref="W39">_xlfn.XLOOKUP(Mass_Data[[#This Row],[axle group 5]]&amp;Mass_Data[[#This Row],[Mass Scheme]],Axle_Data[Axle Code]&amp;Axle_Data[Mass Scheme],Axle_Data[MDL Maximum Mass (t)],"",0)</f>
        <v/>
      </c>
      <c r="X39" t="str" cm="1">
        <f t="array" ref="X39">_xlfn.XLOOKUP(Mass_Data[[#This Row],[axle group 6]]&amp;Mass_Data[[#This Row],[Mass Scheme]],Axle_Data[Axle Code]&amp;Axle_Data[Mass Scheme],Axle_Data[MDL Maximum Mass (t)],"",0)</f>
        <v/>
      </c>
      <c r="Y39" t="str" cm="1">
        <f t="array" ref="Y39">_xlfn.XLOOKUP(Mass_Data[[#This Row],[axle group 7]]&amp;Mass_Data[[#This Row],[Mass Scheme]],Axle_Data[Axle Code]&amp;Axle_Data[Mass Scheme],Axle_Data[MDL Maximum Mass (t)],"",0)</f>
        <v/>
      </c>
      <c r="Z39" s="81">
        <f>SUM(Mass_Data[[#This Row],[MDL axle group 1 mass]:[MDL axle group 7 mass]])</f>
        <v>44.5</v>
      </c>
      <c r="AA39">
        <f>Mass_Data[[#This Row],[Total (1)]]-Mass_Data[[#This Row],[GCM (t)]]</f>
        <v>0.5</v>
      </c>
      <c r="AB39" t="str">
        <f>IF(Mass_Data[[#This Row],[Difference between MDL and GCM]]=0,"YES","NO")</f>
        <v>NO</v>
      </c>
      <c r="AC39" s="22">
        <f>IFERROR(IF(Mass_Data[[#This Row],[Check (1)]]="YES",Mass_Data[[#This Row],[MDL axle group 1 mass]],Mass_Data[[#This Row],[MDL axle group 1 mass]]-(Mass_Data[[#This Row],[Difference between MDL and GCM]]*(Mass_Data[[#This Row],[MDL axle group 1 mass]]/Mass_Data[[#This Row],[Total (1)]]))),"")</f>
        <v>6.4269662921348312</v>
      </c>
      <c r="AD39" s="22">
        <f>IFERROR(IF(Mass_Data[[#This Row],[Check (1)]]="YES",Mass_Data[[#This Row],[MDL axle group 2 mass]],Mass_Data[[#This Row],[MDL axle group 2 mass]]-(Mass_Data[[#This Row],[Difference between MDL and GCM]]*(Mass_Data[[#This Row],[MDL axle group 2 mass]]/Mass_Data[[#This Row],[Total (1)]]))),"")</f>
        <v>16.808988764044944</v>
      </c>
      <c r="AE39" s="22">
        <f>IFERROR(IF(Mass_Data[[#This Row],[Check (1)]]="YES",Mass_Data[[#This Row],[MDL axle group 3 mass]],Mass_Data[[#This Row],[MDL axle group 3 mass]]-(Mass_Data[[#This Row],[Difference between MDL and GCM]]*(Mass_Data[[#This Row],[MDL axle group 3 mass]]/Mass_Data[[#This Row],[Total (1)]]))),"")</f>
        <v>20.764044943820224</v>
      </c>
      <c r="AF39" s="22" t="str">
        <f>IFERROR(IF(Mass_Data[[#This Row],[Check (1)]]="YES",Mass_Data[[#This Row],[MDL axle group 4 mass]],Mass_Data[[#This Row],[MDL axle group 4 mass]]-(Mass_Data[[#This Row],[Difference between MDL and GCM]]*(Mass_Data[[#This Row],[MDL axle group 4 mass]]/Mass_Data[[#This Row],[Total (1)]]))),"")</f>
        <v/>
      </c>
      <c r="AG39" s="22" t="str">
        <f>IFERROR(IF(Mass_Data[[#This Row],[Check (1)]]="YES",Mass_Data[[#This Row],[MDL axle group 5 mass]],Mass_Data[[#This Row],[MDL axle group 5 mass]]-(Mass_Data[[#This Row],[Difference between MDL and GCM]]*(Mass_Data[[#This Row],[MDL axle group 5 mass]]/Mass_Data[[#This Row],[Total (1)]]))),"")</f>
        <v/>
      </c>
      <c r="AH39" s="22" t="str">
        <f>IFERROR(IF(Mass_Data[[#This Row],[Check (1)]]="YES",Mass_Data[[#This Row],[MDL axle group 6 mass]],Mass_Data[[#This Row],[MDL axle group 6 mass]]-(Mass_Data[[#This Row],[Difference between MDL and GCM]]*(Mass_Data[[#This Row],[MDL axle group 6 mass]]/Mass_Data[[#This Row],[Total (1)]]))),"")</f>
        <v/>
      </c>
      <c r="AI39" s="22" t="str">
        <f>IFERROR(IF(Mass_Data[[#This Row],[Check (1)]]="YES",Mass_Data[[#This Row],[MDL axle group 7 mass]],Mass_Data[[#This Row],[MDL axle group 7 mass]]-(Mass_Data[[#This Row],[Difference between MDL and GCM]]*(Mass_Data[[#This Row],[MDL axle group 7 mass]]/Mass_Data[[#This Row],[Total (1)]]))),"")</f>
        <v/>
      </c>
      <c r="AJ39" s="81">
        <f>SUM(Mass_Data[[#This Row],[Corrected axle group 1 mass]:[Corrected axle group 7 mass]])</f>
        <v>44</v>
      </c>
      <c r="AK39">
        <f>Mass_Data[[#This Row],[Total (2)]]-Mass_Data[[#This Row],[GCM (t)]]</f>
        <v>0</v>
      </c>
      <c r="AL39" s="22" t="str">
        <f>IF(Mass_Data[[#This Row],[Difference between MDL and corrected axle masses]]=0,"YES","NO")</f>
        <v>YES</v>
      </c>
    </row>
    <row r="40" spans="3:38" x14ac:dyDescent="0.35">
      <c r="C40" s="10" t="str">
        <f t="shared" si="0"/>
        <v>PBS - 3-axle prime mover and 3-axle semitrailer (HML): 1</v>
      </c>
      <c r="D40" s="10" t="s">
        <v>199</v>
      </c>
      <c r="E40" s="10" t="s">
        <v>147</v>
      </c>
      <c r="F40" s="10" t="s">
        <v>7</v>
      </c>
      <c r="G40" s="10" t="s">
        <v>3</v>
      </c>
      <c r="H40" t="s">
        <v>55</v>
      </c>
      <c r="I40" s="9">
        <v>46</v>
      </c>
      <c r="J40" s="14">
        <v>27.968580510030989</v>
      </c>
      <c r="K40" s="14">
        <f>Mass_Data[[#This Row],[GCM (t)]]-Mass_Data[[#This Row],[Payload (t)]]</f>
        <v>18.031419489969011</v>
      </c>
      <c r="L40" t="s">
        <v>8</v>
      </c>
      <c r="M40" t="s">
        <v>9</v>
      </c>
      <c r="N40" t="s">
        <v>10</v>
      </c>
      <c r="O40">
        <v>0</v>
      </c>
      <c r="P40">
        <v>0</v>
      </c>
      <c r="Q40">
        <v>0</v>
      </c>
      <c r="R40">
        <v>0</v>
      </c>
      <c r="S40" cm="1">
        <f t="array" ref="S40">_xlfn.XLOOKUP(Mass_Data[[#This Row],[axle group 1]]&amp;Mass_Data[[#This Row],[Mass Scheme]],Axle_Data[Axle Code]&amp;Axle_Data[Mass Scheme],Axle_Data[MDL Maximum Mass (t)],"",0)</f>
        <v>6.5</v>
      </c>
      <c r="T40" cm="1">
        <f t="array" ref="T40">_xlfn.XLOOKUP(Mass_Data[[#This Row],[axle group 2]]&amp;Mass_Data[[#This Row],[Mass Scheme]],Axle_Data[Axle Code]&amp;Axle_Data[Mass Scheme],Axle_Data[MDL Maximum Mass (t)],"",0)</f>
        <v>17</v>
      </c>
      <c r="U40" cm="1">
        <f t="array" ref="U40">_xlfn.XLOOKUP(Mass_Data[[#This Row],[axle group 3]]&amp;Mass_Data[[#This Row],[Mass Scheme]],Axle_Data[Axle Code]&amp;Axle_Data[Mass Scheme],Axle_Data[MDL Maximum Mass (t)],"",0)</f>
        <v>22.5</v>
      </c>
      <c r="V40" t="str" cm="1">
        <f t="array" ref="V40">_xlfn.XLOOKUP(Mass_Data[[#This Row],[axle group 4]]&amp;Mass_Data[[#This Row],[Mass Scheme]],Axle_Data[Axle Code]&amp;Axle_Data[Mass Scheme],Axle_Data[MDL Maximum Mass (t)],"",0)</f>
        <v/>
      </c>
      <c r="W40" t="str" cm="1">
        <f t="array" ref="W40">_xlfn.XLOOKUP(Mass_Data[[#This Row],[axle group 5]]&amp;Mass_Data[[#This Row],[Mass Scheme]],Axle_Data[Axle Code]&amp;Axle_Data[Mass Scheme],Axle_Data[MDL Maximum Mass (t)],"",0)</f>
        <v/>
      </c>
      <c r="X40" t="str" cm="1">
        <f t="array" ref="X40">_xlfn.XLOOKUP(Mass_Data[[#This Row],[axle group 6]]&amp;Mass_Data[[#This Row],[Mass Scheme]],Axle_Data[Axle Code]&amp;Axle_Data[Mass Scheme],Axle_Data[MDL Maximum Mass (t)],"",0)</f>
        <v/>
      </c>
      <c r="Y40" t="str" cm="1">
        <f t="array" ref="Y40">_xlfn.XLOOKUP(Mass_Data[[#This Row],[axle group 7]]&amp;Mass_Data[[#This Row],[Mass Scheme]],Axle_Data[Axle Code]&amp;Axle_Data[Mass Scheme],Axle_Data[MDL Maximum Mass (t)],"",0)</f>
        <v/>
      </c>
      <c r="Z40" s="81">
        <f>SUM(Mass_Data[[#This Row],[MDL axle group 1 mass]:[MDL axle group 7 mass]])</f>
        <v>46</v>
      </c>
      <c r="AA40">
        <f>Mass_Data[[#This Row],[Total (1)]]-Mass_Data[[#This Row],[GCM (t)]]</f>
        <v>0</v>
      </c>
      <c r="AB40" t="str">
        <f>IF(Mass_Data[[#This Row],[Difference between MDL and GCM]]=0,"YES","NO")</f>
        <v>YES</v>
      </c>
      <c r="AC40" s="22">
        <f>IFERROR(IF(Mass_Data[[#This Row],[Check (1)]]="YES",Mass_Data[[#This Row],[MDL axle group 1 mass]],Mass_Data[[#This Row],[MDL axle group 1 mass]]-(Mass_Data[[#This Row],[Difference between MDL and GCM]]*(Mass_Data[[#This Row],[MDL axle group 1 mass]]/Mass_Data[[#This Row],[Total (1)]]))),"")</f>
        <v>6.5</v>
      </c>
      <c r="AD40" s="22">
        <f>IFERROR(IF(Mass_Data[[#This Row],[Check (1)]]="YES",Mass_Data[[#This Row],[MDL axle group 2 mass]],Mass_Data[[#This Row],[MDL axle group 2 mass]]-(Mass_Data[[#This Row],[Difference between MDL and GCM]]*(Mass_Data[[#This Row],[MDL axle group 2 mass]]/Mass_Data[[#This Row],[Total (1)]]))),"")</f>
        <v>17</v>
      </c>
      <c r="AE40" s="22">
        <f>IFERROR(IF(Mass_Data[[#This Row],[Check (1)]]="YES",Mass_Data[[#This Row],[MDL axle group 3 mass]],Mass_Data[[#This Row],[MDL axle group 3 mass]]-(Mass_Data[[#This Row],[Difference between MDL and GCM]]*(Mass_Data[[#This Row],[MDL axle group 3 mass]]/Mass_Data[[#This Row],[Total (1)]]))),"")</f>
        <v>22.5</v>
      </c>
      <c r="AF40" s="22" t="str">
        <f>IFERROR(IF(Mass_Data[[#This Row],[Check (1)]]="YES",Mass_Data[[#This Row],[MDL axle group 4 mass]],Mass_Data[[#This Row],[MDL axle group 4 mass]]-(Mass_Data[[#This Row],[Difference between MDL and GCM]]*(Mass_Data[[#This Row],[MDL axle group 4 mass]]/Mass_Data[[#This Row],[Total (1)]]))),"")</f>
        <v/>
      </c>
      <c r="AG40" s="22" t="str">
        <f>IFERROR(IF(Mass_Data[[#This Row],[Check (1)]]="YES",Mass_Data[[#This Row],[MDL axle group 5 mass]],Mass_Data[[#This Row],[MDL axle group 5 mass]]-(Mass_Data[[#This Row],[Difference between MDL and GCM]]*(Mass_Data[[#This Row],[MDL axle group 5 mass]]/Mass_Data[[#This Row],[Total (1)]]))),"")</f>
        <v/>
      </c>
      <c r="AH40" s="22" t="str">
        <f>IFERROR(IF(Mass_Data[[#This Row],[Check (1)]]="YES",Mass_Data[[#This Row],[MDL axle group 6 mass]],Mass_Data[[#This Row],[MDL axle group 6 mass]]-(Mass_Data[[#This Row],[Difference between MDL and GCM]]*(Mass_Data[[#This Row],[MDL axle group 6 mass]]/Mass_Data[[#This Row],[Total (1)]]))),"")</f>
        <v/>
      </c>
      <c r="AI40" s="22" t="str">
        <f>IFERROR(IF(Mass_Data[[#This Row],[Check (1)]]="YES",Mass_Data[[#This Row],[MDL axle group 7 mass]],Mass_Data[[#This Row],[MDL axle group 7 mass]]-(Mass_Data[[#This Row],[Difference between MDL and GCM]]*(Mass_Data[[#This Row],[MDL axle group 7 mass]]/Mass_Data[[#This Row],[Total (1)]]))),"")</f>
        <v/>
      </c>
      <c r="AJ40" s="81">
        <f>SUM(Mass_Data[[#This Row],[Corrected axle group 1 mass]:[Corrected axle group 7 mass]])</f>
        <v>46</v>
      </c>
      <c r="AK40">
        <f>Mass_Data[[#This Row],[Total (2)]]-Mass_Data[[#This Row],[GCM (t)]]</f>
        <v>0</v>
      </c>
      <c r="AL40" s="22" t="str">
        <f>IF(Mass_Data[[#This Row],[Difference between MDL and corrected axle masses]]=0,"YES","NO")</f>
        <v>YES</v>
      </c>
    </row>
    <row r="41" spans="3:38" x14ac:dyDescent="0.35">
      <c r="C41" s="10" t="str">
        <f t="shared" si="0"/>
        <v>PBS - 4-axle prime mover and 3-axle semitrailer (GML): 1</v>
      </c>
      <c r="D41" s="10" t="s">
        <v>197</v>
      </c>
      <c r="E41" s="10" t="s">
        <v>147</v>
      </c>
      <c r="F41" s="10" t="s">
        <v>18</v>
      </c>
      <c r="G41" s="10" t="s">
        <v>3</v>
      </c>
      <c r="H41" t="s">
        <v>122</v>
      </c>
      <c r="I41" s="9">
        <v>47.5</v>
      </c>
      <c r="J41" s="14">
        <v>19.428969699220168</v>
      </c>
      <c r="K41" s="14">
        <f>Mass_Data[[#This Row],[GCM (t)]]-Mass_Data[[#This Row],[Payload (t)]]</f>
        <v>28.071030300779832</v>
      </c>
      <c r="L41" t="s">
        <v>40</v>
      </c>
      <c r="M41" t="s">
        <v>9</v>
      </c>
      <c r="N41" t="s">
        <v>10</v>
      </c>
      <c r="P41">
        <v>0</v>
      </c>
      <c r="Q41">
        <v>0</v>
      </c>
      <c r="R41">
        <v>0</v>
      </c>
      <c r="S41" cm="1">
        <f t="array" ref="S41">_xlfn.XLOOKUP(Mass_Data[[#This Row],[axle group 1]]&amp;Mass_Data[[#This Row],[Mass Scheme]],Axle_Data[Axle Code]&amp;Axle_Data[Mass Scheme],Axle_Data[MDL Maximum Mass (t)],"",0)</f>
        <v>11</v>
      </c>
      <c r="T41" cm="1">
        <f t="array" ref="T41">_xlfn.XLOOKUP(Mass_Data[[#This Row],[axle group 2]]&amp;Mass_Data[[#This Row],[Mass Scheme]],Axle_Data[Axle Code]&amp;Axle_Data[Mass Scheme],Axle_Data[MDL Maximum Mass (t)],"",0)</f>
        <v>16.5</v>
      </c>
      <c r="U41" cm="1">
        <f t="array" ref="U41">_xlfn.XLOOKUP(Mass_Data[[#This Row],[axle group 3]]&amp;Mass_Data[[#This Row],[Mass Scheme]],Axle_Data[Axle Code]&amp;Axle_Data[Mass Scheme],Axle_Data[MDL Maximum Mass (t)],"",0)</f>
        <v>20</v>
      </c>
      <c r="V41" t="str" cm="1">
        <f t="array" ref="V41">_xlfn.XLOOKUP(Mass_Data[[#This Row],[axle group 4]]&amp;Mass_Data[[#This Row],[Mass Scheme]],Axle_Data[Axle Code]&amp;Axle_Data[Mass Scheme],Axle_Data[MDL Maximum Mass (t)],"",0)</f>
        <v/>
      </c>
      <c r="W41" t="str" cm="1">
        <f t="array" ref="W41">_xlfn.XLOOKUP(Mass_Data[[#This Row],[axle group 5]]&amp;Mass_Data[[#This Row],[Mass Scheme]],Axle_Data[Axle Code]&amp;Axle_Data[Mass Scheme],Axle_Data[MDL Maximum Mass (t)],"",0)</f>
        <v/>
      </c>
      <c r="X41" t="str" cm="1">
        <f t="array" ref="X41">_xlfn.XLOOKUP(Mass_Data[[#This Row],[axle group 6]]&amp;Mass_Data[[#This Row],[Mass Scheme]],Axle_Data[Axle Code]&amp;Axle_Data[Mass Scheme],Axle_Data[MDL Maximum Mass (t)],"",0)</f>
        <v/>
      </c>
      <c r="Y41" t="str" cm="1">
        <f t="array" ref="Y41">_xlfn.XLOOKUP(Mass_Data[[#This Row],[axle group 7]]&amp;Mass_Data[[#This Row],[Mass Scheme]],Axle_Data[Axle Code]&amp;Axle_Data[Mass Scheme],Axle_Data[MDL Maximum Mass (t)],"",0)</f>
        <v/>
      </c>
      <c r="Z41" s="81">
        <f>SUM(Mass_Data[[#This Row],[MDL axle group 1 mass]:[MDL axle group 7 mass]])</f>
        <v>47.5</v>
      </c>
      <c r="AA41">
        <f>Mass_Data[[#This Row],[Total (1)]]-Mass_Data[[#This Row],[GCM (t)]]</f>
        <v>0</v>
      </c>
      <c r="AB41" t="str">
        <f>IF(Mass_Data[[#This Row],[Difference between MDL and GCM]]=0,"YES","NO")</f>
        <v>YES</v>
      </c>
      <c r="AC41" s="22">
        <f>IFERROR(IF(Mass_Data[[#This Row],[Check (1)]]="YES",Mass_Data[[#This Row],[MDL axle group 1 mass]],Mass_Data[[#This Row],[MDL axle group 1 mass]]-(Mass_Data[[#This Row],[Difference between MDL and GCM]]*(Mass_Data[[#This Row],[MDL axle group 1 mass]]/Mass_Data[[#This Row],[Total (1)]]))),"")</f>
        <v>11</v>
      </c>
      <c r="AD41" s="22">
        <f>IFERROR(IF(Mass_Data[[#This Row],[Check (1)]]="YES",Mass_Data[[#This Row],[MDL axle group 2 mass]],Mass_Data[[#This Row],[MDL axle group 2 mass]]-(Mass_Data[[#This Row],[Difference between MDL and GCM]]*(Mass_Data[[#This Row],[MDL axle group 2 mass]]/Mass_Data[[#This Row],[Total (1)]]))),"")</f>
        <v>16.5</v>
      </c>
      <c r="AE41" s="22">
        <f>IFERROR(IF(Mass_Data[[#This Row],[Check (1)]]="YES",Mass_Data[[#This Row],[MDL axle group 3 mass]],Mass_Data[[#This Row],[MDL axle group 3 mass]]-(Mass_Data[[#This Row],[Difference between MDL and GCM]]*(Mass_Data[[#This Row],[MDL axle group 3 mass]]/Mass_Data[[#This Row],[Total (1)]]))),"")</f>
        <v>20</v>
      </c>
      <c r="AF41" s="22" t="str">
        <f>IFERROR(IF(Mass_Data[[#This Row],[Check (1)]]="YES",Mass_Data[[#This Row],[MDL axle group 4 mass]],Mass_Data[[#This Row],[MDL axle group 4 mass]]-(Mass_Data[[#This Row],[Difference between MDL and GCM]]*(Mass_Data[[#This Row],[MDL axle group 4 mass]]/Mass_Data[[#This Row],[Total (1)]]))),"")</f>
        <v/>
      </c>
      <c r="AG41" s="22" t="str">
        <f>IFERROR(IF(Mass_Data[[#This Row],[Check (1)]]="YES",Mass_Data[[#This Row],[MDL axle group 5 mass]],Mass_Data[[#This Row],[MDL axle group 5 mass]]-(Mass_Data[[#This Row],[Difference between MDL and GCM]]*(Mass_Data[[#This Row],[MDL axle group 5 mass]]/Mass_Data[[#This Row],[Total (1)]]))),"")</f>
        <v/>
      </c>
      <c r="AH41" s="22" t="str">
        <f>IFERROR(IF(Mass_Data[[#This Row],[Check (1)]]="YES",Mass_Data[[#This Row],[MDL axle group 6 mass]],Mass_Data[[#This Row],[MDL axle group 6 mass]]-(Mass_Data[[#This Row],[Difference between MDL and GCM]]*(Mass_Data[[#This Row],[MDL axle group 6 mass]]/Mass_Data[[#This Row],[Total (1)]]))),"")</f>
        <v/>
      </c>
      <c r="AI41" s="22" t="str">
        <f>IFERROR(IF(Mass_Data[[#This Row],[Check (1)]]="YES",Mass_Data[[#This Row],[MDL axle group 7 mass]],Mass_Data[[#This Row],[MDL axle group 7 mass]]-(Mass_Data[[#This Row],[Difference between MDL and GCM]]*(Mass_Data[[#This Row],[MDL axle group 7 mass]]/Mass_Data[[#This Row],[Total (1)]]))),"")</f>
        <v/>
      </c>
      <c r="AJ41" s="81">
        <f>SUM(Mass_Data[[#This Row],[Corrected axle group 1 mass]:[Corrected axle group 7 mass]])</f>
        <v>47.5</v>
      </c>
      <c r="AK41">
        <f>Mass_Data[[#This Row],[Total (2)]]-Mass_Data[[#This Row],[GCM (t)]]</f>
        <v>0</v>
      </c>
      <c r="AL41" s="22" t="str">
        <f>IF(Mass_Data[[#This Row],[Difference between MDL and corrected axle masses]]=0,"YES","NO")</f>
        <v>YES</v>
      </c>
    </row>
    <row r="42" spans="3:38" x14ac:dyDescent="0.35">
      <c r="C42" s="10" t="str">
        <f t="shared" si="0"/>
        <v>PBS - 4-axle prime mover and 3-axle semitrailer (CML): 1</v>
      </c>
      <c r="D42" s="10" t="s">
        <v>197</v>
      </c>
      <c r="E42" s="10" t="s">
        <v>147</v>
      </c>
      <c r="F42" s="10" t="s">
        <v>20</v>
      </c>
      <c r="G42" s="10" t="s">
        <v>3</v>
      </c>
      <c r="H42" t="s">
        <v>122</v>
      </c>
      <c r="I42" s="9">
        <v>48.5</v>
      </c>
      <c r="J42" s="14">
        <v>20.428969699220168</v>
      </c>
      <c r="K42" s="14">
        <f>Mass_Data[[#This Row],[GCM (t)]]-Mass_Data[[#This Row],[Payload (t)]]</f>
        <v>28.071030300779832</v>
      </c>
      <c r="L42" t="s">
        <v>40</v>
      </c>
      <c r="M42" t="s">
        <v>9</v>
      </c>
      <c r="N42" t="s">
        <v>10</v>
      </c>
      <c r="P42">
        <v>0</v>
      </c>
      <c r="Q42">
        <v>0</v>
      </c>
      <c r="R42">
        <v>0</v>
      </c>
      <c r="S42" cm="1">
        <f t="array" ref="S42">_xlfn.XLOOKUP(Mass_Data[[#This Row],[axle group 1]]&amp;Mass_Data[[#This Row],[Mass Scheme]],Axle_Data[Axle Code]&amp;Axle_Data[Mass Scheme],Axle_Data[MDL Maximum Mass (t)],"",0)</f>
        <v>11</v>
      </c>
      <c r="T42" cm="1">
        <f t="array" ref="T42">_xlfn.XLOOKUP(Mass_Data[[#This Row],[axle group 2]]&amp;Mass_Data[[#This Row],[Mass Scheme]],Axle_Data[Axle Code]&amp;Axle_Data[Mass Scheme],Axle_Data[MDL Maximum Mass (t)],"",0)</f>
        <v>17</v>
      </c>
      <c r="U42" cm="1">
        <f t="array" ref="U42">_xlfn.XLOOKUP(Mass_Data[[#This Row],[axle group 3]]&amp;Mass_Data[[#This Row],[Mass Scheme]],Axle_Data[Axle Code]&amp;Axle_Data[Mass Scheme],Axle_Data[MDL Maximum Mass (t)],"",0)</f>
        <v>21</v>
      </c>
      <c r="V42" t="str" cm="1">
        <f t="array" ref="V42">_xlfn.XLOOKUP(Mass_Data[[#This Row],[axle group 4]]&amp;Mass_Data[[#This Row],[Mass Scheme]],Axle_Data[Axle Code]&amp;Axle_Data[Mass Scheme],Axle_Data[MDL Maximum Mass (t)],"",0)</f>
        <v/>
      </c>
      <c r="W42" t="str" cm="1">
        <f t="array" ref="W42">_xlfn.XLOOKUP(Mass_Data[[#This Row],[axle group 5]]&amp;Mass_Data[[#This Row],[Mass Scheme]],Axle_Data[Axle Code]&amp;Axle_Data[Mass Scheme],Axle_Data[MDL Maximum Mass (t)],"",0)</f>
        <v/>
      </c>
      <c r="X42" t="str" cm="1">
        <f t="array" ref="X42">_xlfn.XLOOKUP(Mass_Data[[#This Row],[axle group 6]]&amp;Mass_Data[[#This Row],[Mass Scheme]],Axle_Data[Axle Code]&amp;Axle_Data[Mass Scheme],Axle_Data[MDL Maximum Mass (t)],"",0)</f>
        <v/>
      </c>
      <c r="Y42" t="str" cm="1">
        <f t="array" ref="Y42">_xlfn.XLOOKUP(Mass_Data[[#This Row],[axle group 7]]&amp;Mass_Data[[#This Row],[Mass Scheme]],Axle_Data[Axle Code]&amp;Axle_Data[Mass Scheme],Axle_Data[MDL Maximum Mass (t)],"",0)</f>
        <v/>
      </c>
      <c r="Z42" s="81">
        <f>SUM(Mass_Data[[#This Row],[MDL axle group 1 mass]:[MDL axle group 7 mass]])</f>
        <v>49</v>
      </c>
      <c r="AA42">
        <f>Mass_Data[[#This Row],[Total (1)]]-Mass_Data[[#This Row],[GCM (t)]]</f>
        <v>0.5</v>
      </c>
      <c r="AB42" t="str">
        <f>IF(Mass_Data[[#This Row],[Difference between MDL and GCM]]=0,"YES","NO")</f>
        <v>NO</v>
      </c>
      <c r="AC42" s="22">
        <f>IFERROR(IF(Mass_Data[[#This Row],[Check (1)]]="YES",Mass_Data[[#This Row],[MDL axle group 1 mass]],Mass_Data[[#This Row],[MDL axle group 1 mass]]-(Mass_Data[[#This Row],[Difference between MDL and GCM]]*(Mass_Data[[#This Row],[MDL axle group 1 mass]]/Mass_Data[[#This Row],[Total (1)]]))),"")</f>
        <v>10.887755102040817</v>
      </c>
      <c r="AD42" s="22">
        <f>IFERROR(IF(Mass_Data[[#This Row],[Check (1)]]="YES",Mass_Data[[#This Row],[MDL axle group 2 mass]],Mass_Data[[#This Row],[MDL axle group 2 mass]]-(Mass_Data[[#This Row],[Difference between MDL and GCM]]*(Mass_Data[[#This Row],[MDL axle group 2 mass]]/Mass_Data[[#This Row],[Total (1)]]))),"")</f>
        <v>16.826530612244898</v>
      </c>
      <c r="AE42" s="22">
        <f>IFERROR(IF(Mass_Data[[#This Row],[Check (1)]]="YES",Mass_Data[[#This Row],[MDL axle group 3 mass]],Mass_Data[[#This Row],[MDL axle group 3 mass]]-(Mass_Data[[#This Row],[Difference between MDL and GCM]]*(Mass_Data[[#This Row],[MDL axle group 3 mass]]/Mass_Data[[#This Row],[Total (1)]]))),"")</f>
        <v>20.785714285714285</v>
      </c>
      <c r="AF42" s="22" t="str">
        <f>IFERROR(IF(Mass_Data[[#This Row],[Check (1)]]="YES",Mass_Data[[#This Row],[MDL axle group 4 mass]],Mass_Data[[#This Row],[MDL axle group 4 mass]]-(Mass_Data[[#This Row],[Difference between MDL and GCM]]*(Mass_Data[[#This Row],[MDL axle group 4 mass]]/Mass_Data[[#This Row],[Total (1)]]))),"")</f>
        <v/>
      </c>
      <c r="AG42" s="22" t="str">
        <f>IFERROR(IF(Mass_Data[[#This Row],[Check (1)]]="YES",Mass_Data[[#This Row],[MDL axle group 5 mass]],Mass_Data[[#This Row],[MDL axle group 5 mass]]-(Mass_Data[[#This Row],[Difference between MDL and GCM]]*(Mass_Data[[#This Row],[MDL axle group 5 mass]]/Mass_Data[[#This Row],[Total (1)]]))),"")</f>
        <v/>
      </c>
      <c r="AH42" s="22" t="str">
        <f>IFERROR(IF(Mass_Data[[#This Row],[Check (1)]]="YES",Mass_Data[[#This Row],[MDL axle group 6 mass]],Mass_Data[[#This Row],[MDL axle group 6 mass]]-(Mass_Data[[#This Row],[Difference between MDL and GCM]]*(Mass_Data[[#This Row],[MDL axle group 6 mass]]/Mass_Data[[#This Row],[Total (1)]]))),"")</f>
        <v/>
      </c>
      <c r="AI42" s="22" t="str">
        <f>IFERROR(IF(Mass_Data[[#This Row],[Check (1)]]="YES",Mass_Data[[#This Row],[MDL axle group 7 mass]],Mass_Data[[#This Row],[MDL axle group 7 mass]]-(Mass_Data[[#This Row],[Difference between MDL and GCM]]*(Mass_Data[[#This Row],[MDL axle group 7 mass]]/Mass_Data[[#This Row],[Total (1)]]))),"")</f>
        <v/>
      </c>
      <c r="AJ42" s="81">
        <f>SUM(Mass_Data[[#This Row],[Corrected axle group 1 mass]:[Corrected axle group 7 mass]])</f>
        <v>48.5</v>
      </c>
      <c r="AK42">
        <f>Mass_Data[[#This Row],[Total (2)]]-Mass_Data[[#This Row],[GCM (t)]]</f>
        <v>0</v>
      </c>
      <c r="AL42" s="22" t="str">
        <f>IF(Mass_Data[[#This Row],[Difference between MDL and corrected axle masses]]=0,"YES","NO")</f>
        <v>YES</v>
      </c>
    </row>
    <row r="43" spans="3:38" x14ac:dyDescent="0.35">
      <c r="C43" s="10" t="str">
        <f t="shared" si="0"/>
        <v>PBS - 4-axle prime mover and 3-axle semitrailer (HML): 1</v>
      </c>
      <c r="D43" s="10" t="s">
        <v>197</v>
      </c>
      <c r="E43" s="10" t="s">
        <v>147</v>
      </c>
      <c r="F43" s="10" t="s">
        <v>7</v>
      </c>
      <c r="G43" s="10" t="s">
        <v>3</v>
      </c>
      <c r="H43" t="s">
        <v>122</v>
      </c>
      <c r="I43" s="9">
        <v>50</v>
      </c>
      <c r="J43" s="14">
        <v>21.928969699220168</v>
      </c>
      <c r="K43" s="14">
        <f>Mass_Data[[#This Row],[GCM (t)]]-Mass_Data[[#This Row],[Payload (t)]]</f>
        <v>28.071030300779832</v>
      </c>
      <c r="L43" t="s">
        <v>40</v>
      </c>
      <c r="M43" t="s">
        <v>9</v>
      </c>
      <c r="N43" t="s">
        <v>10</v>
      </c>
      <c r="P43">
        <v>0</v>
      </c>
      <c r="Q43">
        <v>0</v>
      </c>
      <c r="R43">
        <v>0</v>
      </c>
      <c r="S43" cm="1">
        <f t="array" ref="S43">_xlfn.XLOOKUP(Mass_Data[[#This Row],[axle group 1]]&amp;Mass_Data[[#This Row],[Mass Scheme]],Axle_Data[Axle Code]&amp;Axle_Data[Mass Scheme],Axle_Data[MDL Maximum Mass (t)],"",0)</f>
        <v>11</v>
      </c>
      <c r="T43" cm="1">
        <f t="array" ref="T43">_xlfn.XLOOKUP(Mass_Data[[#This Row],[axle group 2]]&amp;Mass_Data[[#This Row],[Mass Scheme]],Axle_Data[Axle Code]&amp;Axle_Data[Mass Scheme],Axle_Data[MDL Maximum Mass (t)],"",0)</f>
        <v>17</v>
      </c>
      <c r="U43" cm="1">
        <f t="array" ref="U43">_xlfn.XLOOKUP(Mass_Data[[#This Row],[axle group 3]]&amp;Mass_Data[[#This Row],[Mass Scheme]],Axle_Data[Axle Code]&amp;Axle_Data[Mass Scheme],Axle_Data[MDL Maximum Mass (t)],"",0)</f>
        <v>22.5</v>
      </c>
      <c r="V43" t="str" cm="1">
        <f t="array" ref="V43">_xlfn.XLOOKUP(Mass_Data[[#This Row],[axle group 4]]&amp;Mass_Data[[#This Row],[Mass Scheme]],Axle_Data[Axle Code]&amp;Axle_Data[Mass Scheme],Axle_Data[MDL Maximum Mass (t)],"",0)</f>
        <v/>
      </c>
      <c r="W43" t="str" cm="1">
        <f t="array" ref="W43">_xlfn.XLOOKUP(Mass_Data[[#This Row],[axle group 5]]&amp;Mass_Data[[#This Row],[Mass Scheme]],Axle_Data[Axle Code]&amp;Axle_Data[Mass Scheme],Axle_Data[MDL Maximum Mass (t)],"",0)</f>
        <v/>
      </c>
      <c r="X43" t="str" cm="1">
        <f t="array" ref="X43">_xlfn.XLOOKUP(Mass_Data[[#This Row],[axle group 6]]&amp;Mass_Data[[#This Row],[Mass Scheme]],Axle_Data[Axle Code]&amp;Axle_Data[Mass Scheme],Axle_Data[MDL Maximum Mass (t)],"",0)</f>
        <v/>
      </c>
      <c r="Y43" t="str" cm="1">
        <f t="array" ref="Y43">_xlfn.XLOOKUP(Mass_Data[[#This Row],[axle group 7]]&amp;Mass_Data[[#This Row],[Mass Scheme]],Axle_Data[Axle Code]&amp;Axle_Data[Mass Scheme],Axle_Data[MDL Maximum Mass (t)],"",0)</f>
        <v/>
      </c>
      <c r="Z43" s="81">
        <f>SUM(Mass_Data[[#This Row],[MDL axle group 1 mass]:[MDL axle group 7 mass]])</f>
        <v>50.5</v>
      </c>
      <c r="AA43">
        <f>Mass_Data[[#This Row],[Total (1)]]-Mass_Data[[#This Row],[GCM (t)]]</f>
        <v>0.5</v>
      </c>
      <c r="AB43" t="str">
        <f>IF(Mass_Data[[#This Row],[Difference between MDL and GCM]]=0,"YES","NO")</f>
        <v>NO</v>
      </c>
      <c r="AC43" s="22">
        <f>IFERROR(IF(Mass_Data[[#This Row],[Check (1)]]="YES",Mass_Data[[#This Row],[MDL axle group 1 mass]],Mass_Data[[#This Row],[MDL axle group 1 mass]]-(Mass_Data[[#This Row],[Difference between MDL and GCM]]*(Mass_Data[[#This Row],[MDL axle group 1 mass]]/Mass_Data[[#This Row],[Total (1)]]))),"")</f>
        <v>10.891089108910892</v>
      </c>
      <c r="AD43" s="22">
        <f>IFERROR(IF(Mass_Data[[#This Row],[Check (1)]]="YES",Mass_Data[[#This Row],[MDL axle group 2 mass]],Mass_Data[[#This Row],[MDL axle group 2 mass]]-(Mass_Data[[#This Row],[Difference between MDL and GCM]]*(Mass_Data[[#This Row],[MDL axle group 2 mass]]/Mass_Data[[#This Row],[Total (1)]]))),"")</f>
        <v>16.831683168316832</v>
      </c>
      <c r="AE43" s="22">
        <f>IFERROR(IF(Mass_Data[[#This Row],[Check (1)]]="YES",Mass_Data[[#This Row],[MDL axle group 3 mass]],Mass_Data[[#This Row],[MDL axle group 3 mass]]-(Mass_Data[[#This Row],[Difference between MDL and GCM]]*(Mass_Data[[#This Row],[MDL axle group 3 mass]]/Mass_Data[[#This Row],[Total (1)]]))),"")</f>
        <v>22.277227722772277</v>
      </c>
      <c r="AF43" s="22" t="str">
        <f>IFERROR(IF(Mass_Data[[#This Row],[Check (1)]]="YES",Mass_Data[[#This Row],[MDL axle group 4 mass]],Mass_Data[[#This Row],[MDL axle group 4 mass]]-(Mass_Data[[#This Row],[Difference between MDL and GCM]]*(Mass_Data[[#This Row],[MDL axle group 4 mass]]/Mass_Data[[#This Row],[Total (1)]]))),"")</f>
        <v/>
      </c>
      <c r="AG43" s="22" t="str">
        <f>IFERROR(IF(Mass_Data[[#This Row],[Check (1)]]="YES",Mass_Data[[#This Row],[MDL axle group 5 mass]],Mass_Data[[#This Row],[MDL axle group 5 mass]]-(Mass_Data[[#This Row],[Difference between MDL and GCM]]*(Mass_Data[[#This Row],[MDL axle group 5 mass]]/Mass_Data[[#This Row],[Total (1)]]))),"")</f>
        <v/>
      </c>
      <c r="AH43" s="22" t="str">
        <f>IFERROR(IF(Mass_Data[[#This Row],[Check (1)]]="YES",Mass_Data[[#This Row],[MDL axle group 6 mass]],Mass_Data[[#This Row],[MDL axle group 6 mass]]-(Mass_Data[[#This Row],[Difference between MDL and GCM]]*(Mass_Data[[#This Row],[MDL axle group 6 mass]]/Mass_Data[[#This Row],[Total (1)]]))),"")</f>
        <v/>
      </c>
      <c r="AI43" s="22" t="str">
        <f>IFERROR(IF(Mass_Data[[#This Row],[Check (1)]]="YES",Mass_Data[[#This Row],[MDL axle group 7 mass]],Mass_Data[[#This Row],[MDL axle group 7 mass]]-(Mass_Data[[#This Row],[Difference between MDL and GCM]]*(Mass_Data[[#This Row],[MDL axle group 7 mass]]/Mass_Data[[#This Row],[Total (1)]]))),"")</f>
        <v/>
      </c>
      <c r="AJ43" s="81">
        <f>SUM(Mass_Data[[#This Row],[Corrected axle group 1 mass]:[Corrected axle group 7 mass]])</f>
        <v>50</v>
      </c>
      <c r="AK43">
        <f>Mass_Data[[#This Row],[Total (2)]]-Mass_Data[[#This Row],[GCM (t)]]</f>
        <v>0</v>
      </c>
      <c r="AL43" s="22" t="str">
        <f>IF(Mass_Data[[#This Row],[Difference between MDL and corrected axle masses]]=0,"YES","NO")</f>
        <v>YES</v>
      </c>
    </row>
    <row r="44" spans="3:38" x14ac:dyDescent="0.35">
      <c r="C44" s="10" t="str">
        <f t="shared" si="0"/>
        <v>PBS - 3-axle prime mover and quad-axle semitrailer (GML): 1</v>
      </c>
      <c r="D44" s="10" t="s">
        <v>195</v>
      </c>
      <c r="E44" s="10" t="s">
        <v>147</v>
      </c>
      <c r="F44" s="10" t="s">
        <v>18</v>
      </c>
      <c r="G44" s="10" t="s">
        <v>3</v>
      </c>
      <c r="H44" t="s">
        <v>57</v>
      </c>
      <c r="I44" s="9">
        <v>43</v>
      </c>
      <c r="J44" s="14">
        <v>21.064567437316839</v>
      </c>
      <c r="K44" s="14">
        <f>Mass_Data[[#This Row],[GCM (t)]]-Mass_Data[[#This Row],[Payload (t)]]</f>
        <v>21.935432562683161</v>
      </c>
      <c r="L44" t="s">
        <v>8</v>
      </c>
      <c r="M44" t="s">
        <v>9</v>
      </c>
      <c r="N44" t="s">
        <v>39</v>
      </c>
      <c r="O44">
        <v>0</v>
      </c>
      <c r="P44">
        <v>0</v>
      </c>
      <c r="Q44">
        <v>0</v>
      </c>
      <c r="R44">
        <v>0</v>
      </c>
      <c r="S44" cm="1">
        <f t="array" ref="S44">_xlfn.XLOOKUP(Mass_Data[[#This Row],[axle group 1]]&amp;Mass_Data[[#This Row],[Mass Scheme]],Axle_Data[Axle Code]&amp;Axle_Data[Mass Scheme],Axle_Data[MDL Maximum Mass (t)],"",0)</f>
        <v>6.5</v>
      </c>
      <c r="T44" cm="1">
        <f t="array" ref="T44">_xlfn.XLOOKUP(Mass_Data[[#This Row],[axle group 2]]&amp;Mass_Data[[#This Row],[Mass Scheme]],Axle_Data[Axle Code]&amp;Axle_Data[Mass Scheme],Axle_Data[MDL Maximum Mass (t)],"",0)</f>
        <v>16.5</v>
      </c>
      <c r="U44" cm="1">
        <f t="array" ref="U44">_xlfn.XLOOKUP(Mass_Data[[#This Row],[axle group 3]]&amp;Mass_Data[[#This Row],[Mass Scheme]],Axle_Data[Axle Code]&amp;Axle_Data[Mass Scheme],Axle_Data[MDL Maximum Mass (t)],"",0)</f>
        <v>20</v>
      </c>
      <c r="V44" t="str" cm="1">
        <f t="array" ref="V44">_xlfn.XLOOKUP(Mass_Data[[#This Row],[axle group 4]]&amp;Mass_Data[[#This Row],[Mass Scheme]],Axle_Data[Axle Code]&amp;Axle_Data[Mass Scheme],Axle_Data[MDL Maximum Mass (t)],"",0)</f>
        <v/>
      </c>
      <c r="W44" t="str" cm="1">
        <f t="array" ref="W44">_xlfn.XLOOKUP(Mass_Data[[#This Row],[axle group 5]]&amp;Mass_Data[[#This Row],[Mass Scheme]],Axle_Data[Axle Code]&amp;Axle_Data[Mass Scheme],Axle_Data[MDL Maximum Mass (t)],"",0)</f>
        <v/>
      </c>
      <c r="X44" t="str" cm="1">
        <f t="array" ref="X44">_xlfn.XLOOKUP(Mass_Data[[#This Row],[axle group 6]]&amp;Mass_Data[[#This Row],[Mass Scheme]],Axle_Data[Axle Code]&amp;Axle_Data[Mass Scheme],Axle_Data[MDL Maximum Mass (t)],"",0)</f>
        <v/>
      </c>
      <c r="Y44" t="str" cm="1">
        <f t="array" ref="Y44">_xlfn.XLOOKUP(Mass_Data[[#This Row],[axle group 7]]&amp;Mass_Data[[#This Row],[Mass Scheme]],Axle_Data[Axle Code]&amp;Axle_Data[Mass Scheme],Axle_Data[MDL Maximum Mass (t)],"",0)</f>
        <v/>
      </c>
      <c r="Z44" s="81">
        <f>SUM(Mass_Data[[#This Row],[MDL axle group 1 mass]:[MDL axle group 7 mass]])</f>
        <v>43</v>
      </c>
      <c r="AA44">
        <f>Mass_Data[[#This Row],[Total (1)]]-Mass_Data[[#This Row],[GCM (t)]]</f>
        <v>0</v>
      </c>
      <c r="AB44" t="str">
        <f>IF(Mass_Data[[#This Row],[Difference between MDL and GCM]]=0,"YES","NO")</f>
        <v>YES</v>
      </c>
      <c r="AC44" s="22">
        <f>IFERROR(IF(Mass_Data[[#This Row],[Check (1)]]="YES",Mass_Data[[#This Row],[MDL axle group 1 mass]],Mass_Data[[#This Row],[MDL axle group 1 mass]]-(Mass_Data[[#This Row],[Difference between MDL and GCM]]*(Mass_Data[[#This Row],[MDL axle group 1 mass]]/Mass_Data[[#This Row],[Total (1)]]))),"")</f>
        <v>6.5</v>
      </c>
      <c r="AD44" s="22">
        <f>IFERROR(IF(Mass_Data[[#This Row],[Check (1)]]="YES",Mass_Data[[#This Row],[MDL axle group 2 mass]],Mass_Data[[#This Row],[MDL axle group 2 mass]]-(Mass_Data[[#This Row],[Difference between MDL and GCM]]*(Mass_Data[[#This Row],[MDL axle group 2 mass]]/Mass_Data[[#This Row],[Total (1)]]))),"")</f>
        <v>16.5</v>
      </c>
      <c r="AE44" s="22">
        <f>IFERROR(IF(Mass_Data[[#This Row],[Check (1)]]="YES",Mass_Data[[#This Row],[MDL axle group 3 mass]],Mass_Data[[#This Row],[MDL axle group 3 mass]]-(Mass_Data[[#This Row],[Difference between MDL and GCM]]*(Mass_Data[[#This Row],[MDL axle group 3 mass]]/Mass_Data[[#This Row],[Total (1)]]))),"")</f>
        <v>20</v>
      </c>
      <c r="AF44" s="22" t="str">
        <f>IFERROR(IF(Mass_Data[[#This Row],[Check (1)]]="YES",Mass_Data[[#This Row],[MDL axle group 4 mass]],Mass_Data[[#This Row],[MDL axle group 4 mass]]-(Mass_Data[[#This Row],[Difference between MDL and GCM]]*(Mass_Data[[#This Row],[MDL axle group 4 mass]]/Mass_Data[[#This Row],[Total (1)]]))),"")</f>
        <v/>
      </c>
      <c r="AG44" s="22" t="str">
        <f>IFERROR(IF(Mass_Data[[#This Row],[Check (1)]]="YES",Mass_Data[[#This Row],[MDL axle group 5 mass]],Mass_Data[[#This Row],[MDL axle group 5 mass]]-(Mass_Data[[#This Row],[Difference between MDL and GCM]]*(Mass_Data[[#This Row],[MDL axle group 5 mass]]/Mass_Data[[#This Row],[Total (1)]]))),"")</f>
        <v/>
      </c>
      <c r="AH44" s="22" t="str">
        <f>IFERROR(IF(Mass_Data[[#This Row],[Check (1)]]="YES",Mass_Data[[#This Row],[MDL axle group 6 mass]],Mass_Data[[#This Row],[MDL axle group 6 mass]]-(Mass_Data[[#This Row],[Difference between MDL and GCM]]*(Mass_Data[[#This Row],[MDL axle group 6 mass]]/Mass_Data[[#This Row],[Total (1)]]))),"")</f>
        <v/>
      </c>
      <c r="AI44" s="22" t="str">
        <f>IFERROR(IF(Mass_Data[[#This Row],[Check (1)]]="YES",Mass_Data[[#This Row],[MDL axle group 7 mass]],Mass_Data[[#This Row],[MDL axle group 7 mass]]-(Mass_Data[[#This Row],[Difference between MDL and GCM]]*(Mass_Data[[#This Row],[MDL axle group 7 mass]]/Mass_Data[[#This Row],[Total (1)]]))),"")</f>
        <v/>
      </c>
      <c r="AJ44" s="81">
        <f>SUM(Mass_Data[[#This Row],[Corrected axle group 1 mass]:[Corrected axle group 7 mass]])</f>
        <v>43</v>
      </c>
      <c r="AK44">
        <f>Mass_Data[[#This Row],[Total (2)]]-Mass_Data[[#This Row],[GCM (t)]]</f>
        <v>0</v>
      </c>
      <c r="AL44" s="22" t="str">
        <f>IF(Mass_Data[[#This Row],[Difference between MDL and corrected axle masses]]=0,"YES","NO")</f>
        <v>YES</v>
      </c>
    </row>
    <row r="45" spans="3:38" x14ac:dyDescent="0.35">
      <c r="C45" s="10" t="str">
        <f t="shared" si="0"/>
        <v>PBS - 3-axle prime mover and quad-axle semitrailer (CML): 1</v>
      </c>
      <c r="D45" s="10" t="s">
        <v>195</v>
      </c>
      <c r="E45" s="10" t="s">
        <v>147</v>
      </c>
      <c r="F45" s="10" t="s">
        <v>20</v>
      </c>
      <c r="G45" s="10" t="s">
        <v>3</v>
      </c>
      <c r="H45" t="s">
        <v>57</v>
      </c>
      <c r="I45" s="9">
        <v>44</v>
      </c>
      <c r="J45" s="14">
        <v>22.064567437316839</v>
      </c>
      <c r="K45" s="14">
        <f>Mass_Data[[#This Row],[GCM (t)]]-Mass_Data[[#This Row],[Payload (t)]]</f>
        <v>21.935432562683161</v>
      </c>
      <c r="L45" t="s">
        <v>8</v>
      </c>
      <c r="M45" t="s">
        <v>9</v>
      </c>
      <c r="N45" t="s">
        <v>39</v>
      </c>
      <c r="O45">
        <v>0</v>
      </c>
      <c r="P45">
        <v>0</v>
      </c>
      <c r="Q45">
        <v>0</v>
      </c>
      <c r="R45">
        <v>0</v>
      </c>
      <c r="S45" cm="1">
        <f t="array" ref="S45">_xlfn.XLOOKUP(Mass_Data[[#This Row],[axle group 1]]&amp;Mass_Data[[#This Row],[Mass Scheme]],Axle_Data[Axle Code]&amp;Axle_Data[Mass Scheme],Axle_Data[MDL Maximum Mass (t)],"",0)</f>
        <v>6.5</v>
      </c>
      <c r="T45" cm="1">
        <f t="array" ref="T45">_xlfn.XLOOKUP(Mass_Data[[#This Row],[axle group 2]]&amp;Mass_Data[[#This Row],[Mass Scheme]],Axle_Data[Axle Code]&amp;Axle_Data[Mass Scheme],Axle_Data[MDL Maximum Mass (t)],"",0)</f>
        <v>17</v>
      </c>
      <c r="U45" cm="1">
        <f t="array" ref="U45">_xlfn.XLOOKUP(Mass_Data[[#This Row],[axle group 3]]&amp;Mass_Data[[#This Row],[Mass Scheme]],Axle_Data[Axle Code]&amp;Axle_Data[Mass Scheme],Axle_Data[MDL Maximum Mass (t)],"",0)</f>
        <v>21</v>
      </c>
      <c r="V45" t="str" cm="1">
        <f t="array" ref="V45">_xlfn.XLOOKUP(Mass_Data[[#This Row],[axle group 4]]&amp;Mass_Data[[#This Row],[Mass Scheme]],Axle_Data[Axle Code]&amp;Axle_Data[Mass Scheme],Axle_Data[MDL Maximum Mass (t)],"",0)</f>
        <v/>
      </c>
      <c r="W45" t="str" cm="1">
        <f t="array" ref="W45">_xlfn.XLOOKUP(Mass_Data[[#This Row],[axle group 5]]&amp;Mass_Data[[#This Row],[Mass Scheme]],Axle_Data[Axle Code]&amp;Axle_Data[Mass Scheme],Axle_Data[MDL Maximum Mass (t)],"",0)</f>
        <v/>
      </c>
      <c r="X45" t="str" cm="1">
        <f t="array" ref="X45">_xlfn.XLOOKUP(Mass_Data[[#This Row],[axle group 6]]&amp;Mass_Data[[#This Row],[Mass Scheme]],Axle_Data[Axle Code]&amp;Axle_Data[Mass Scheme],Axle_Data[MDL Maximum Mass (t)],"",0)</f>
        <v/>
      </c>
      <c r="Y45" t="str" cm="1">
        <f t="array" ref="Y45">_xlfn.XLOOKUP(Mass_Data[[#This Row],[axle group 7]]&amp;Mass_Data[[#This Row],[Mass Scheme]],Axle_Data[Axle Code]&amp;Axle_Data[Mass Scheme],Axle_Data[MDL Maximum Mass (t)],"",0)</f>
        <v/>
      </c>
      <c r="Z45" s="81">
        <f>SUM(Mass_Data[[#This Row],[MDL axle group 1 mass]:[MDL axle group 7 mass]])</f>
        <v>44.5</v>
      </c>
      <c r="AA45">
        <f>Mass_Data[[#This Row],[Total (1)]]-Mass_Data[[#This Row],[GCM (t)]]</f>
        <v>0.5</v>
      </c>
      <c r="AB45" t="str">
        <f>IF(Mass_Data[[#This Row],[Difference between MDL and GCM]]=0,"YES","NO")</f>
        <v>NO</v>
      </c>
      <c r="AC45" s="22">
        <f>IFERROR(IF(Mass_Data[[#This Row],[Check (1)]]="YES",Mass_Data[[#This Row],[MDL axle group 1 mass]],Mass_Data[[#This Row],[MDL axle group 1 mass]]-(Mass_Data[[#This Row],[Difference between MDL and GCM]]*(Mass_Data[[#This Row],[MDL axle group 1 mass]]/Mass_Data[[#This Row],[Total (1)]]))),"")</f>
        <v>6.4269662921348312</v>
      </c>
      <c r="AD45" s="22">
        <f>IFERROR(IF(Mass_Data[[#This Row],[Check (1)]]="YES",Mass_Data[[#This Row],[MDL axle group 2 mass]],Mass_Data[[#This Row],[MDL axle group 2 mass]]-(Mass_Data[[#This Row],[Difference between MDL and GCM]]*(Mass_Data[[#This Row],[MDL axle group 2 mass]]/Mass_Data[[#This Row],[Total (1)]]))),"")</f>
        <v>16.808988764044944</v>
      </c>
      <c r="AE45" s="22">
        <f>IFERROR(IF(Mass_Data[[#This Row],[Check (1)]]="YES",Mass_Data[[#This Row],[MDL axle group 3 mass]],Mass_Data[[#This Row],[MDL axle group 3 mass]]-(Mass_Data[[#This Row],[Difference between MDL and GCM]]*(Mass_Data[[#This Row],[MDL axle group 3 mass]]/Mass_Data[[#This Row],[Total (1)]]))),"")</f>
        <v>20.764044943820224</v>
      </c>
      <c r="AF45" s="22" t="str">
        <f>IFERROR(IF(Mass_Data[[#This Row],[Check (1)]]="YES",Mass_Data[[#This Row],[MDL axle group 4 mass]],Mass_Data[[#This Row],[MDL axle group 4 mass]]-(Mass_Data[[#This Row],[Difference between MDL and GCM]]*(Mass_Data[[#This Row],[MDL axle group 4 mass]]/Mass_Data[[#This Row],[Total (1)]]))),"")</f>
        <v/>
      </c>
      <c r="AG45" s="22" t="str">
        <f>IFERROR(IF(Mass_Data[[#This Row],[Check (1)]]="YES",Mass_Data[[#This Row],[MDL axle group 5 mass]],Mass_Data[[#This Row],[MDL axle group 5 mass]]-(Mass_Data[[#This Row],[Difference between MDL and GCM]]*(Mass_Data[[#This Row],[MDL axle group 5 mass]]/Mass_Data[[#This Row],[Total (1)]]))),"")</f>
        <v/>
      </c>
      <c r="AH45" s="22" t="str">
        <f>IFERROR(IF(Mass_Data[[#This Row],[Check (1)]]="YES",Mass_Data[[#This Row],[MDL axle group 6 mass]],Mass_Data[[#This Row],[MDL axle group 6 mass]]-(Mass_Data[[#This Row],[Difference between MDL and GCM]]*(Mass_Data[[#This Row],[MDL axle group 6 mass]]/Mass_Data[[#This Row],[Total (1)]]))),"")</f>
        <v/>
      </c>
      <c r="AI45" s="22" t="str">
        <f>IFERROR(IF(Mass_Data[[#This Row],[Check (1)]]="YES",Mass_Data[[#This Row],[MDL axle group 7 mass]],Mass_Data[[#This Row],[MDL axle group 7 mass]]-(Mass_Data[[#This Row],[Difference between MDL and GCM]]*(Mass_Data[[#This Row],[MDL axle group 7 mass]]/Mass_Data[[#This Row],[Total (1)]]))),"")</f>
        <v/>
      </c>
      <c r="AJ45" s="81">
        <f>SUM(Mass_Data[[#This Row],[Corrected axle group 1 mass]:[Corrected axle group 7 mass]])</f>
        <v>44</v>
      </c>
      <c r="AK45">
        <f>Mass_Data[[#This Row],[Total (2)]]-Mass_Data[[#This Row],[GCM (t)]]</f>
        <v>0</v>
      </c>
      <c r="AL45" s="22" t="str">
        <f>IF(Mass_Data[[#This Row],[Difference between MDL and corrected axle masses]]=0,"YES","NO")</f>
        <v>YES</v>
      </c>
    </row>
    <row r="46" spans="3:38" x14ac:dyDescent="0.35">
      <c r="C46" s="10" t="str">
        <f t="shared" si="0"/>
        <v>PBS - 3-axle prime mover and quad-axle semitrailer (HML): 1</v>
      </c>
      <c r="D46" s="10" t="s">
        <v>195</v>
      </c>
      <c r="E46" s="10" t="s">
        <v>147</v>
      </c>
      <c r="F46" s="10" t="s">
        <v>7</v>
      </c>
      <c r="G46" s="10" t="s">
        <v>3</v>
      </c>
      <c r="H46" t="s">
        <v>57</v>
      </c>
      <c r="I46" s="9">
        <v>50.5</v>
      </c>
      <c r="J46" s="14">
        <v>28.564567437316839</v>
      </c>
      <c r="K46" s="14">
        <f>Mass_Data[[#This Row],[GCM (t)]]-Mass_Data[[#This Row],[Payload (t)]]</f>
        <v>21.935432562683161</v>
      </c>
      <c r="L46" t="s">
        <v>8</v>
      </c>
      <c r="M46" t="s">
        <v>9</v>
      </c>
      <c r="N46" t="s">
        <v>39</v>
      </c>
      <c r="O46">
        <v>0</v>
      </c>
      <c r="P46">
        <v>0</v>
      </c>
      <c r="Q46">
        <v>0</v>
      </c>
      <c r="R46">
        <v>0</v>
      </c>
      <c r="S46" cm="1">
        <f t="array" ref="S46">_xlfn.XLOOKUP(Mass_Data[[#This Row],[axle group 1]]&amp;Mass_Data[[#This Row],[Mass Scheme]],Axle_Data[Axle Code]&amp;Axle_Data[Mass Scheme],Axle_Data[MDL Maximum Mass (t)],"",0)</f>
        <v>6.5</v>
      </c>
      <c r="T46" cm="1">
        <f t="array" ref="T46">_xlfn.XLOOKUP(Mass_Data[[#This Row],[axle group 2]]&amp;Mass_Data[[#This Row],[Mass Scheme]],Axle_Data[Axle Code]&amp;Axle_Data[Mass Scheme],Axle_Data[MDL Maximum Mass (t)],"",0)</f>
        <v>17</v>
      </c>
      <c r="U46" cm="1">
        <f t="array" ref="U46">_xlfn.XLOOKUP(Mass_Data[[#This Row],[axle group 3]]&amp;Mass_Data[[#This Row],[Mass Scheme]],Axle_Data[Axle Code]&amp;Axle_Data[Mass Scheme],Axle_Data[MDL Maximum Mass (t)],"",0)</f>
        <v>27</v>
      </c>
      <c r="V46" t="str" cm="1">
        <f t="array" ref="V46">_xlfn.XLOOKUP(Mass_Data[[#This Row],[axle group 4]]&amp;Mass_Data[[#This Row],[Mass Scheme]],Axle_Data[Axle Code]&amp;Axle_Data[Mass Scheme],Axle_Data[MDL Maximum Mass (t)],"",0)</f>
        <v/>
      </c>
      <c r="W46" t="str" cm="1">
        <f t="array" ref="W46">_xlfn.XLOOKUP(Mass_Data[[#This Row],[axle group 5]]&amp;Mass_Data[[#This Row],[Mass Scheme]],Axle_Data[Axle Code]&amp;Axle_Data[Mass Scheme],Axle_Data[MDL Maximum Mass (t)],"",0)</f>
        <v/>
      </c>
      <c r="X46" t="str" cm="1">
        <f t="array" ref="X46">_xlfn.XLOOKUP(Mass_Data[[#This Row],[axle group 6]]&amp;Mass_Data[[#This Row],[Mass Scheme]],Axle_Data[Axle Code]&amp;Axle_Data[Mass Scheme],Axle_Data[MDL Maximum Mass (t)],"",0)</f>
        <v/>
      </c>
      <c r="Y46" t="str" cm="1">
        <f t="array" ref="Y46">_xlfn.XLOOKUP(Mass_Data[[#This Row],[axle group 7]]&amp;Mass_Data[[#This Row],[Mass Scheme]],Axle_Data[Axle Code]&amp;Axle_Data[Mass Scheme],Axle_Data[MDL Maximum Mass (t)],"",0)</f>
        <v/>
      </c>
      <c r="Z46" s="81">
        <f>SUM(Mass_Data[[#This Row],[MDL axle group 1 mass]:[MDL axle group 7 mass]])</f>
        <v>50.5</v>
      </c>
      <c r="AA46">
        <f>Mass_Data[[#This Row],[Total (1)]]-Mass_Data[[#This Row],[GCM (t)]]</f>
        <v>0</v>
      </c>
      <c r="AB46" t="str">
        <f>IF(Mass_Data[[#This Row],[Difference between MDL and GCM]]=0,"YES","NO")</f>
        <v>YES</v>
      </c>
      <c r="AC46" s="22">
        <f>IFERROR(IF(Mass_Data[[#This Row],[Check (1)]]="YES",Mass_Data[[#This Row],[MDL axle group 1 mass]],Mass_Data[[#This Row],[MDL axle group 1 mass]]-(Mass_Data[[#This Row],[Difference between MDL and GCM]]*(Mass_Data[[#This Row],[MDL axle group 1 mass]]/Mass_Data[[#This Row],[Total (1)]]))),"")</f>
        <v>6.5</v>
      </c>
      <c r="AD46" s="22">
        <f>IFERROR(IF(Mass_Data[[#This Row],[Check (1)]]="YES",Mass_Data[[#This Row],[MDL axle group 2 mass]],Mass_Data[[#This Row],[MDL axle group 2 mass]]-(Mass_Data[[#This Row],[Difference between MDL and GCM]]*(Mass_Data[[#This Row],[MDL axle group 2 mass]]/Mass_Data[[#This Row],[Total (1)]]))),"")</f>
        <v>17</v>
      </c>
      <c r="AE46" s="22">
        <f>IFERROR(IF(Mass_Data[[#This Row],[Check (1)]]="YES",Mass_Data[[#This Row],[MDL axle group 3 mass]],Mass_Data[[#This Row],[MDL axle group 3 mass]]-(Mass_Data[[#This Row],[Difference between MDL and GCM]]*(Mass_Data[[#This Row],[MDL axle group 3 mass]]/Mass_Data[[#This Row],[Total (1)]]))),"")</f>
        <v>27</v>
      </c>
      <c r="AF46" s="22" t="str">
        <f>IFERROR(IF(Mass_Data[[#This Row],[Check (1)]]="YES",Mass_Data[[#This Row],[MDL axle group 4 mass]],Mass_Data[[#This Row],[MDL axle group 4 mass]]-(Mass_Data[[#This Row],[Difference between MDL and GCM]]*(Mass_Data[[#This Row],[MDL axle group 4 mass]]/Mass_Data[[#This Row],[Total (1)]]))),"")</f>
        <v/>
      </c>
      <c r="AG46" s="22" t="str">
        <f>IFERROR(IF(Mass_Data[[#This Row],[Check (1)]]="YES",Mass_Data[[#This Row],[MDL axle group 5 mass]],Mass_Data[[#This Row],[MDL axle group 5 mass]]-(Mass_Data[[#This Row],[Difference between MDL and GCM]]*(Mass_Data[[#This Row],[MDL axle group 5 mass]]/Mass_Data[[#This Row],[Total (1)]]))),"")</f>
        <v/>
      </c>
      <c r="AH46" s="22" t="str">
        <f>IFERROR(IF(Mass_Data[[#This Row],[Check (1)]]="YES",Mass_Data[[#This Row],[MDL axle group 6 mass]],Mass_Data[[#This Row],[MDL axle group 6 mass]]-(Mass_Data[[#This Row],[Difference between MDL and GCM]]*(Mass_Data[[#This Row],[MDL axle group 6 mass]]/Mass_Data[[#This Row],[Total (1)]]))),"")</f>
        <v/>
      </c>
      <c r="AI46" s="22" t="str">
        <f>IFERROR(IF(Mass_Data[[#This Row],[Check (1)]]="YES",Mass_Data[[#This Row],[MDL axle group 7 mass]],Mass_Data[[#This Row],[MDL axle group 7 mass]]-(Mass_Data[[#This Row],[Difference between MDL and GCM]]*(Mass_Data[[#This Row],[MDL axle group 7 mass]]/Mass_Data[[#This Row],[Total (1)]]))),"")</f>
        <v/>
      </c>
      <c r="AJ46" s="81">
        <f>SUM(Mass_Data[[#This Row],[Corrected axle group 1 mass]:[Corrected axle group 7 mass]])</f>
        <v>50.5</v>
      </c>
      <c r="AK46">
        <f>Mass_Data[[#This Row],[Total (2)]]-Mass_Data[[#This Row],[GCM (t)]]</f>
        <v>0</v>
      </c>
      <c r="AL46" s="22" t="str">
        <f>IF(Mass_Data[[#This Row],[Difference between MDL and corrected axle masses]]=0,"YES","NO")</f>
        <v>YES</v>
      </c>
    </row>
    <row r="47" spans="3:38" x14ac:dyDescent="0.35">
      <c r="C47" s="10" t="str">
        <f t="shared" si="0"/>
        <v>PBS - 4-axle prime mover and quad-axle semitrailer (GML): 1</v>
      </c>
      <c r="D47" s="10" t="s">
        <v>193</v>
      </c>
      <c r="E47" s="10" t="s">
        <v>147</v>
      </c>
      <c r="F47" s="10" t="s">
        <v>18</v>
      </c>
      <c r="G47" s="10" t="s">
        <v>3</v>
      </c>
      <c r="H47" t="s">
        <v>123</v>
      </c>
      <c r="I47" s="9">
        <v>47.5</v>
      </c>
      <c r="J47" s="14">
        <v>15.524956626506022</v>
      </c>
      <c r="K47" s="14">
        <f>Mass_Data[[#This Row],[GCM (t)]]-Mass_Data[[#This Row],[Payload (t)]]</f>
        <v>31.975043373493978</v>
      </c>
      <c r="L47" t="s">
        <v>40</v>
      </c>
      <c r="M47" t="s">
        <v>9</v>
      </c>
      <c r="N47" t="s">
        <v>39</v>
      </c>
      <c r="P47">
        <v>0</v>
      </c>
      <c r="Q47">
        <v>0</v>
      </c>
      <c r="R47">
        <v>0</v>
      </c>
      <c r="S47" cm="1">
        <f t="array" ref="S47">_xlfn.XLOOKUP(Mass_Data[[#This Row],[axle group 1]]&amp;Mass_Data[[#This Row],[Mass Scheme]],Axle_Data[Axle Code]&amp;Axle_Data[Mass Scheme],Axle_Data[MDL Maximum Mass (t)],"",0)</f>
        <v>11</v>
      </c>
      <c r="T47" cm="1">
        <f t="array" ref="T47">_xlfn.XLOOKUP(Mass_Data[[#This Row],[axle group 2]]&amp;Mass_Data[[#This Row],[Mass Scheme]],Axle_Data[Axle Code]&amp;Axle_Data[Mass Scheme],Axle_Data[MDL Maximum Mass (t)],"",0)</f>
        <v>16.5</v>
      </c>
      <c r="U47" cm="1">
        <f t="array" ref="U47">_xlfn.XLOOKUP(Mass_Data[[#This Row],[axle group 3]]&amp;Mass_Data[[#This Row],[Mass Scheme]],Axle_Data[Axle Code]&amp;Axle_Data[Mass Scheme],Axle_Data[MDL Maximum Mass (t)],"",0)</f>
        <v>20</v>
      </c>
      <c r="V47" t="str" cm="1">
        <f t="array" ref="V47">_xlfn.XLOOKUP(Mass_Data[[#This Row],[axle group 4]]&amp;Mass_Data[[#This Row],[Mass Scheme]],Axle_Data[Axle Code]&amp;Axle_Data[Mass Scheme],Axle_Data[MDL Maximum Mass (t)],"",0)</f>
        <v/>
      </c>
      <c r="W47" t="str" cm="1">
        <f t="array" ref="W47">_xlfn.XLOOKUP(Mass_Data[[#This Row],[axle group 5]]&amp;Mass_Data[[#This Row],[Mass Scheme]],Axle_Data[Axle Code]&amp;Axle_Data[Mass Scheme],Axle_Data[MDL Maximum Mass (t)],"",0)</f>
        <v/>
      </c>
      <c r="X47" t="str" cm="1">
        <f t="array" ref="X47">_xlfn.XLOOKUP(Mass_Data[[#This Row],[axle group 6]]&amp;Mass_Data[[#This Row],[Mass Scheme]],Axle_Data[Axle Code]&amp;Axle_Data[Mass Scheme],Axle_Data[MDL Maximum Mass (t)],"",0)</f>
        <v/>
      </c>
      <c r="Y47" t="str" cm="1">
        <f t="array" ref="Y47">_xlfn.XLOOKUP(Mass_Data[[#This Row],[axle group 7]]&amp;Mass_Data[[#This Row],[Mass Scheme]],Axle_Data[Axle Code]&amp;Axle_Data[Mass Scheme],Axle_Data[MDL Maximum Mass (t)],"",0)</f>
        <v/>
      </c>
      <c r="Z47" s="81">
        <f>SUM(Mass_Data[[#This Row],[MDL axle group 1 mass]:[MDL axle group 7 mass]])</f>
        <v>47.5</v>
      </c>
      <c r="AA47">
        <f>Mass_Data[[#This Row],[Total (1)]]-Mass_Data[[#This Row],[GCM (t)]]</f>
        <v>0</v>
      </c>
      <c r="AB47" t="str">
        <f>IF(Mass_Data[[#This Row],[Difference between MDL and GCM]]=0,"YES","NO")</f>
        <v>YES</v>
      </c>
      <c r="AC47" s="22">
        <f>IFERROR(IF(Mass_Data[[#This Row],[Check (1)]]="YES",Mass_Data[[#This Row],[MDL axle group 1 mass]],Mass_Data[[#This Row],[MDL axle group 1 mass]]-(Mass_Data[[#This Row],[Difference between MDL and GCM]]*(Mass_Data[[#This Row],[MDL axle group 1 mass]]/Mass_Data[[#This Row],[Total (1)]]))),"")</f>
        <v>11</v>
      </c>
      <c r="AD47" s="22">
        <f>IFERROR(IF(Mass_Data[[#This Row],[Check (1)]]="YES",Mass_Data[[#This Row],[MDL axle group 2 mass]],Mass_Data[[#This Row],[MDL axle group 2 mass]]-(Mass_Data[[#This Row],[Difference between MDL and GCM]]*(Mass_Data[[#This Row],[MDL axle group 2 mass]]/Mass_Data[[#This Row],[Total (1)]]))),"")</f>
        <v>16.5</v>
      </c>
      <c r="AE47" s="22">
        <f>IFERROR(IF(Mass_Data[[#This Row],[Check (1)]]="YES",Mass_Data[[#This Row],[MDL axle group 3 mass]],Mass_Data[[#This Row],[MDL axle group 3 mass]]-(Mass_Data[[#This Row],[Difference between MDL and GCM]]*(Mass_Data[[#This Row],[MDL axle group 3 mass]]/Mass_Data[[#This Row],[Total (1)]]))),"")</f>
        <v>20</v>
      </c>
      <c r="AF47" s="22" t="str">
        <f>IFERROR(IF(Mass_Data[[#This Row],[Check (1)]]="YES",Mass_Data[[#This Row],[MDL axle group 4 mass]],Mass_Data[[#This Row],[MDL axle group 4 mass]]-(Mass_Data[[#This Row],[Difference between MDL and GCM]]*(Mass_Data[[#This Row],[MDL axle group 4 mass]]/Mass_Data[[#This Row],[Total (1)]]))),"")</f>
        <v/>
      </c>
      <c r="AG47" s="22" t="str">
        <f>IFERROR(IF(Mass_Data[[#This Row],[Check (1)]]="YES",Mass_Data[[#This Row],[MDL axle group 5 mass]],Mass_Data[[#This Row],[MDL axle group 5 mass]]-(Mass_Data[[#This Row],[Difference between MDL and GCM]]*(Mass_Data[[#This Row],[MDL axle group 5 mass]]/Mass_Data[[#This Row],[Total (1)]]))),"")</f>
        <v/>
      </c>
      <c r="AH47" s="22" t="str">
        <f>IFERROR(IF(Mass_Data[[#This Row],[Check (1)]]="YES",Mass_Data[[#This Row],[MDL axle group 6 mass]],Mass_Data[[#This Row],[MDL axle group 6 mass]]-(Mass_Data[[#This Row],[Difference between MDL and GCM]]*(Mass_Data[[#This Row],[MDL axle group 6 mass]]/Mass_Data[[#This Row],[Total (1)]]))),"")</f>
        <v/>
      </c>
      <c r="AI47" s="22" t="str">
        <f>IFERROR(IF(Mass_Data[[#This Row],[Check (1)]]="YES",Mass_Data[[#This Row],[MDL axle group 7 mass]],Mass_Data[[#This Row],[MDL axle group 7 mass]]-(Mass_Data[[#This Row],[Difference between MDL and GCM]]*(Mass_Data[[#This Row],[MDL axle group 7 mass]]/Mass_Data[[#This Row],[Total (1)]]))),"")</f>
        <v/>
      </c>
      <c r="AJ47" s="81">
        <f>SUM(Mass_Data[[#This Row],[Corrected axle group 1 mass]:[Corrected axle group 7 mass]])</f>
        <v>47.5</v>
      </c>
      <c r="AK47">
        <f>Mass_Data[[#This Row],[Total (2)]]-Mass_Data[[#This Row],[GCM (t)]]</f>
        <v>0</v>
      </c>
      <c r="AL47" s="22" t="str">
        <f>IF(Mass_Data[[#This Row],[Difference between MDL and corrected axle masses]]=0,"YES","NO")</f>
        <v>YES</v>
      </c>
    </row>
    <row r="48" spans="3:38" x14ac:dyDescent="0.35">
      <c r="C48" s="10" t="str">
        <f t="shared" si="0"/>
        <v>PBS - 4-axle prime mover and quad-axle semitrailer (CML): 1</v>
      </c>
      <c r="D48" s="10" t="s">
        <v>193</v>
      </c>
      <c r="E48" s="10" t="s">
        <v>147</v>
      </c>
      <c r="F48" s="10" t="s">
        <v>20</v>
      </c>
      <c r="G48" s="10" t="s">
        <v>3</v>
      </c>
      <c r="H48" t="s">
        <v>123</v>
      </c>
      <c r="I48" s="9">
        <v>48.5</v>
      </c>
      <c r="J48" s="14">
        <v>16.524956626506022</v>
      </c>
      <c r="K48" s="14">
        <f>Mass_Data[[#This Row],[GCM (t)]]-Mass_Data[[#This Row],[Payload (t)]]</f>
        <v>31.975043373493978</v>
      </c>
      <c r="L48" t="s">
        <v>40</v>
      </c>
      <c r="M48" t="s">
        <v>9</v>
      </c>
      <c r="N48" t="s">
        <v>39</v>
      </c>
      <c r="P48">
        <v>0</v>
      </c>
      <c r="Q48">
        <v>0</v>
      </c>
      <c r="R48">
        <v>0</v>
      </c>
      <c r="S48" cm="1">
        <f t="array" ref="S48">_xlfn.XLOOKUP(Mass_Data[[#This Row],[axle group 1]]&amp;Mass_Data[[#This Row],[Mass Scheme]],Axle_Data[Axle Code]&amp;Axle_Data[Mass Scheme],Axle_Data[MDL Maximum Mass (t)],"",0)</f>
        <v>11</v>
      </c>
      <c r="T48" cm="1">
        <f t="array" ref="T48">_xlfn.XLOOKUP(Mass_Data[[#This Row],[axle group 2]]&amp;Mass_Data[[#This Row],[Mass Scheme]],Axle_Data[Axle Code]&amp;Axle_Data[Mass Scheme],Axle_Data[MDL Maximum Mass (t)],"",0)</f>
        <v>17</v>
      </c>
      <c r="U48" cm="1">
        <f t="array" ref="U48">_xlfn.XLOOKUP(Mass_Data[[#This Row],[axle group 3]]&amp;Mass_Data[[#This Row],[Mass Scheme]],Axle_Data[Axle Code]&amp;Axle_Data[Mass Scheme],Axle_Data[MDL Maximum Mass (t)],"",0)</f>
        <v>21</v>
      </c>
      <c r="V48" t="str" cm="1">
        <f t="array" ref="V48">_xlfn.XLOOKUP(Mass_Data[[#This Row],[axle group 4]]&amp;Mass_Data[[#This Row],[Mass Scheme]],Axle_Data[Axle Code]&amp;Axle_Data[Mass Scheme],Axle_Data[MDL Maximum Mass (t)],"",0)</f>
        <v/>
      </c>
      <c r="W48" t="str" cm="1">
        <f t="array" ref="W48">_xlfn.XLOOKUP(Mass_Data[[#This Row],[axle group 5]]&amp;Mass_Data[[#This Row],[Mass Scheme]],Axle_Data[Axle Code]&amp;Axle_Data[Mass Scheme],Axle_Data[MDL Maximum Mass (t)],"",0)</f>
        <v/>
      </c>
      <c r="X48" t="str" cm="1">
        <f t="array" ref="X48">_xlfn.XLOOKUP(Mass_Data[[#This Row],[axle group 6]]&amp;Mass_Data[[#This Row],[Mass Scheme]],Axle_Data[Axle Code]&amp;Axle_Data[Mass Scheme],Axle_Data[MDL Maximum Mass (t)],"",0)</f>
        <v/>
      </c>
      <c r="Y48" t="str" cm="1">
        <f t="array" ref="Y48">_xlfn.XLOOKUP(Mass_Data[[#This Row],[axle group 7]]&amp;Mass_Data[[#This Row],[Mass Scheme]],Axle_Data[Axle Code]&amp;Axle_Data[Mass Scheme],Axle_Data[MDL Maximum Mass (t)],"",0)</f>
        <v/>
      </c>
      <c r="Z48" s="81">
        <f>SUM(Mass_Data[[#This Row],[MDL axle group 1 mass]:[MDL axle group 7 mass]])</f>
        <v>49</v>
      </c>
      <c r="AA48">
        <f>Mass_Data[[#This Row],[Total (1)]]-Mass_Data[[#This Row],[GCM (t)]]</f>
        <v>0.5</v>
      </c>
      <c r="AB48" t="str">
        <f>IF(Mass_Data[[#This Row],[Difference between MDL and GCM]]=0,"YES","NO")</f>
        <v>NO</v>
      </c>
      <c r="AC48" s="22">
        <f>IFERROR(IF(Mass_Data[[#This Row],[Check (1)]]="YES",Mass_Data[[#This Row],[MDL axle group 1 mass]],Mass_Data[[#This Row],[MDL axle group 1 mass]]-(Mass_Data[[#This Row],[Difference between MDL and GCM]]*(Mass_Data[[#This Row],[MDL axle group 1 mass]]/Mass_Data[[#This Row],[Total (1)]]))),"")</f>
        <v>10.887755102040817</v>
      </c>
      <c r="AD48" s="22">
        <f>IFERROR(IF(Mass_Data[[#This Row],[Check (1)]]="YES",Mass_Data[[#This Row],[MDL axle group 2 mass]],Mass_Data[[#This Row],[MDL axle group 2 mass]]-(Mass_Data[[#This Row],[Difference between MDL and GCM]]*(Mass_Data[[#This Row],[MDL axle group 2 mass]]/Mass_Data[[#This Row],[Total (1)]]))),"")</f>
        <v>16.826530612244898</v>
      </c>
      <c r="AE48" s="22">
        <f>IFERROR(IF(Mass_Data[[#This Row],[Check (1)]]="YES",Mass_Data[[#This Row],[MDL axle group 3 mass]],Mass_Data[[#This Row],[MDL axle group 3 mass]]-(Mass_Data[[#This Row],[Difference between MDL and GCM]]*(Mass_Data[[#This Row],[MDL axle group 3 mass]]/Mass_Data[[#This Row],[Total (1)]]))),"")</f>
        <v>20.785714285714285</v>
      </c>
      <c r="AF48" s="22" t="str">
        <f>IFERROR(IF(Mass_Data[[#This Row],[Check (1)]]="YES",Mass_Data[[#This Row],[MDL axle group 4 mass]],Mass_Data[[#This Row],[MDL axle group 4 mass]]-(Mass_Data[[#This Row],[Difference between MDL and GCM]]*(Mass_Data[[#This Row],[MDL axle group 4 mass]]/Mass_Data[[#This Row],[Total (1)]]))),"")</f>
        <v/>
      </c>
      <c r="AG48" s="22" t="str">
        <f>IFERROR(IF(Mass_Data[[#This Row],[Check (1)]]="YES",Mass_Data[[#This Row],[MDL axle group 5 mass]],Mass_Data[[#This Row],[MDL axle group 5 mass]]-(Mass_Data[[#This Row],[Difference between MDL and GCM]]*(Mass_Data[[#This Row],[MDL axle group 5 mass]]/Mass_Data[[#This Row],[Total (1)]]))),"")</f>
        <v/>
      </c>
      <c r="AH48" s="22" t="str">
        <f>IFERROR(IF(Mass_Data[[#This Row],[Check (1)]]="YES",Mass_Data[[#This Row],[MDL axle group 6 mass]],Mass_Data[[#This Row],[MDL axle group 6 mass]]-(Mass_Data[[#This Row],[Difference between MDL and GCM]]*(Mass_Data[[#This Row],[MDL axle group 6 mass]]/Mass_Data[[#This Row],[Total (1)]]))),"")</f>
        <v/>
      </c>
      <c r="AI48" s="22" t="str">
        <f>IFERROR(IF(Mass_Data[[#This Row],[Check (1)]]="YES",Mass_Data[[#This Row],[MDL axle group 7 mass]],Mass_Data[[#This Row],[MDL axle group 7 mass]]-(Mass_Data[[#This Row],[Difference between MDL and GCM]]*(Mass_Data[[#This Row],[MDL axle group 7 mass]]/Mass_Data[[#This Row],[Total (1)]]))),"")</f>
        <v/>
      </c>
      <c r="AJ48" s="81">
        <f>SUM(Mass_Data[[#This Row],[Corrected axle group 1 mass]:[Corrected axle group 7 mass]])</f>
        <v>48.5</v>
      </c>
      <c r="AK48">
        <f>Mass_Data[[#This Row],[Total (2)]]-Mass_Data[[#This Row],[GCM (t)]]</f>
        <v>0</v>
      </c>
      <c r="AL48" s="22" t="str">
        <f>IF(Mass_Data[[#This Row],[Difference between MDL and corrected axle masses]]=0,"YES","NO")</f>
        <v>YES</v>
      </c>
    </row>
    <row r="49" spans="3:38" x14ac:dyDescent="0.35">
      <c r="C49" s="10" t="str">
        <f t="shared" si="0"/>
        <v>PBS - 4-axle prime mover and quad-axle semitrailer (HML): 1</v>
      </c>
      <c r="D49" s="10" t="s">
        <v>193</v>
      </c>
      <c r="E49" s="10" t="s">
        <v>147</v>
      </c>
      <c r="F49" s="10" t="s">
        <v>7</v>
      </c>
      <c r="G49" s="10" t="s">
        <v>3</v>
      </c>
      <c r="H49" t="s">
        <v>123</v>
      </c>
      <c r="I49" s="9">
        <v>50</v>
      </c>
      <c r="J49" s="14">
        <v>18.024956626506022</v>
      </c>
      <c r="K49" s="14">
        <f>Mass_Data[[#This Row],[GCM (t)]]-Mass_Data[[#This Row],[Payload (t)]]</f>
        <v>31.975043373493978</v>
      </c>
      <c r="L49" t="s">
        <v>40</v>
      </c>
      <c r="M49" t="s">
        <v>9</v>
      </c>
      <c r="N49" t="s">
        <v>39</v>
      </c>
      <c r="P49">
        <v>0</v>
      </c>
      <c r="Q49">
        <v>0</v>
      </c>
      <c r="R49">
        <v>0</v>
      </c>
      <c r="S49" cm="1">
        <f t="array" ref="S49">_xlfn.XLOOKUP(Mass_Data[[#This Row],[axle group 1]]&amp;Mass_Data[[#This Row],[Mass Scheme]],Axle_Data[Axle Code]&amp;Axle_Data[Mass Scheme],Axle_Data[MDL Maximum Mass (t)],"",0)</f>
        <v>11</v>
      </c>
      <c r="T49" cm="1">
        <f t="array" ref="T49">_xlfn.XLOOKUP(Mass_Data[[#This Row],[axle group 2]]&amp;Mass_Data[[#This Row],[Mass Scheme]],Axle_Data[Axle Code]&amp;Axle_Data[Mass Scheme],Axle_Data[MDL Maximum Mass (t)],"",0)</f>
        <v>17</v>
      </c>
      <c r="U49" cm="1">
        <f t="array" ref="U49">_xlfn.XLOOKUP(Mass_Data[[#This Row],[axle group 3]]&amp;Mass_Data[[#This Row],[Mass Scheme]],Axle_Data[Axle Code]&amp;Axle_Data[Mass Scheme],Axle_Data[MDL Maximum Mass (t)],"",0)</f>
        <v>27</v>
      </c>
      <c r="V49" t="str" cm="1">
        <f t="array" ref="V49">_xlfn.XLOOKUP(Mass_Data[[#This Row],[axle group 4]]&amp;Mass_Data[[#This Row],[Mass Scheme]],Axle_Data[Axle Code]&amp;Axle_Data[Mass Scheme],Axle_Data[MDL Maximum Mass (t)],"",0)</f>
        <v/>
      </c>
      <c r="W49" t="str" cm="1">
        <f t="array" ref="W49">_xlfn.XLOOKUP(Mass_Data[[#This Row],[axle group 5]]&amp;Mass_Data[[#This Row],[Mass Scheme]],Axle_Data[Axle Code]&amp;Axle_Data[Mass Scheme],Axle_Data[MDL Maximum Mass (t)],"",0)</f>
        <v/>
      </c>
      <c r="X49" t="str" cm="1">
        <f t="array" ref="X49">_xlfn.XLOOKUP(Mass_Data[[#This Row],[axle group 6]]&amp;Mass_Data[[#This Row],[Mass Scheme]],Axle_Data[Axle Code]&amp;Axle_Data[Mass Scheme],Axle_Data[MDL Maximum Mass (t)],"",0)</f>
        <v/>
      </c>
      <c r="Y49" t="str" cm="1">
        <f t="array" ref="Y49">_xlfn.XLOOKUP(Mass_Data[[#This Row],[axle group 7]]&amp;Mass_Data[[#This Row],[Mass Scheme]],Axle_Data[Axle Code]&amp;Axle_Data[Mass Scheme],Axle_Data[MDL Maximum Mass (t)],"",0)</f>
        <v/>
      </c>
      <c r="Z49" s="81">
        <f>SUM(Mass_Data[[#This Row],[MDL axle group 1 mass]:[MDL axle group 7 mass]])</f>
        <v>55</v>
      </c>
      <c r="AA49">
        <f>Mass_Data[[#This Row],[Total (1)]]-Mass_Data[[#This Row],[GCM (t)]]</f>
        <v>5</v>
      </c>
      <c r="AB49" t="str">
        <f>IF(Mass_Data[[#This Row],[Difference between MDL and GCM]]=0,"YES","NO")</f>
        <v>NO</v>
      </c>
      <c r="AC49" s="22">
        <f>IFERROR(IF(Mass_Data[[#This Row],[Check (1)]]="YES",Mass_Data[[#This Row],[MDL axle group 1 mass]],Mass_Data[[#This Row],[MDL axle group 1 mass]]-(Mass_Data[[#This Row],[Difference between MDL and GCM]]*(Mass_Data[[#This Row],[MDL axle group 1 mass]]/Mass_Data[[#This Row],[Total (1)]]))),"")</f>
        <v>10</v>
      </c>
      <c r="AD49" s="22">
        <f>IFERROR(IF(Mass_Data[[#This Row],[Check (1)]]="YES",Mass_Data[[#This Row],[MDL axle group 2 mass]],Mass_Data[[#This Row],[MDL axle group 2 mass]]-(Mass_Data[[#This Row],[Difference between MDL and GCM]]*(Mass_Data[[#This Row],[MDL axle group 2 mass]]/Mass_Data[[#This Row],[Total (1)]]))),"")</f>
        <v>15.454545454545455</v>
      </c>
      <c r="AE49" s="22">
        <f>IFERROR(IF(Mass_Data[[#This Row],[Check (1)]]="YES",Mass_Data[[#This Row],[MDL axle group 3 mass]],Mass_Data[[#This Row],[MDL axle group 3 mass]]-(Mass_Data[[#This Row],[Difference between MDL and GCM]]*(Mass_Data[[#This Row],[MDL axle group 3 mass]]/Mass_Data[[#This Row],[Total (1)]]))),"")</f>
        <v>24.545454545454547</v>
      </c>
      <c r="AF49" s="22" t="str">
        <f>IFERROR(IF(Mass_Data[[#This Row],[Check (1)]]="YES",Mass_Data[[#This Row],[MDL axle group 4 mass]],Mass_Data[[#This Row],[MDL axle group 4 mass]]-(Mass_Data[[#This Row],[Difference between MDL and GCM]]*(Mass_Data[[#This Row],[MDL axle group 4 mass]]/Mass_Data[[#This Row],[Total (1)]]))),"")</f>
        <v/>
      </c>
      <c r="AG49" s="22" t="str">
        <f>IFERROR(IF(Mass_Data[[#This Row],[Check (1)]]="YES",Mass_Data[[#This Row],[MDL axle group 5 mass]],Mass_Data[[#This Row],[MDL axle group 5 mass]]-(Mass_Data[[#This Row],[Difference between MDL and GCM]]*(Mass_Data[[#This Row],[MDL axle group 5 mass]]/Mass_Data[[#This Row],[Total (1)]]))),"")</f>
        <v/>
      </c>
      <c r="AH49" s="22" t="str">
        <f>IFERROR(IF(Mass_Data[[#This Row],[Check (1)]]="YES",Mass_Data[[#This Row],[MDL axle group 6 mass]],Mass_Data[[#This Row],[MDL axle group 6 mass]]-(Mass_Data[[#This Row],[Difference between MDL and GCM]]*(Mass_Data[[#This Row],[MDL axle group 6 mass]]/Mass_Data[[#This Row],[Total (1)]]))),"")</f>
        <v/>
      </c>
      <c r="AI49" s="22" t="str">
        <f>IFERROR(IF(Mass_Data[[#This Row],[Check (1)]]="YES",Mass_Data[[#This Row],[MDL axle group 7 mass]],Mass_Data[[#This Row],[MDL axle group 7 mass]]-(Mass_Data[[#This Row],[Difference between MDL and GCM]]*(Mass_Data[[#This Row],[MDL axle group 7 mass]]/Mass_Data[[#This Row],[Total (1)]]))),"")</f>
        <v/>
      </c>
      <c r="AJ49" s="81">
        <f>SUM(Mass_Data[[#This Row],[Corrected axle group 1 mass]:[Corrected axle group 7 mass]])</f>
        <v>50</v>
      </c>
      <c r="AK49">
        <f>Mass_Data[[#This Row],[Total (2)]]-Mass_Data[[#This Row],[GCM (t)]]</f>
        <v>0</v>
      </c>
      <c r="AL49" s="22" t="str">
        <f>IF(Mass_Data[[#This Row],[Difference between MDL and corrected axle masses]]=0,"YES","NO")</f>
        <v>YES</v>
      </c>
    </row>
    <row r="50" spans="3:38" x14ac:dyDescent="0.35">
      <c r="C50" s="10" t="str">
        <f t="shared" si="0"/>
        <v>PBS - 4-axle prime mover and quad-axle semitrailer (GML): 2</v>
      </c>
      <c r="D50" s="10" t="s">
        <v>193</v>
      </c>
      <c r="E50" s="10" t="s">
        <v>147</v>
      </c>
      <c r="F50" s="10" t="s">
        <v>18</v>
      </c>
      <c r="G50" s="10" t="s">
        <v>4</v>
      </c>
      <c r="H50" t="s">
        <v>123</v>
      </c>
      <c r="I50" s="9">
        <v>47.5</v>
      </c>
      <c r="J50" s="14">
        <v>15.524956626506022</v>
      </c>
      <c r="K50" s="14">
        <f>Mass_Data[[#This Row],[GCM (t)]]-Mass_Data[[#This Row],[Payload (t)]]</f>
        <v>31.975043373493978</v>
      </c>
      <c r="L50" t="s">
        <v>40</v>
      </c>
      <c r="M50" t="s">
        <v>9</v>
      </c>
      <c r="N50" t="s">
        <v>39</v>
      </c>
      <c r="P50">
        <v>0</v>
      </c>
      <c r="Q50">
        <v>0</v>
      </c>
      <c r="R50">
        <v>0</v>
      </c>
      <c r="S50" cm="1">
        <f t="array" ref="S50">_xlfn.XLOOKUP(Mass_Data[[#This Row],[axle group 1]]&amp;Mass_Data[[#This Row],[Mass Scheme]],Axle_Data[Axle Code]&amp;Axle_Data[Mass Scheme],Axle_Data[MDL Maximum Mass (t)],"",0)</f>
        <v>11</v>
      </c>
      <c r="T50" cm="1">
        <f t="array" ref="T50">_xlfn.XLOOKUP(Mass_Data[[#This Row],[axle group 2]]&amp;Mass_Data[[#This Row],[Mass Scheme]],Axle_Data[Axle Code]&amp;Axle_Data[Mass Scheme],Axle_Data[MDL Maximum Mass (t)],"",0)</f>
        <v>16.5</v>
      </c>
      <c r="U50" cm="1">
        <f t="array" ref="U50">_xlfn.XLOOKUP(Mass_Data[[#This Row],[axle group 3]]&amp;Mass_Data[[#This Row],[Mass Scheme]],Axle_Data[Axle Code]&amp;Axle_Data[Mass Scheme],Axle_Data[MDL Maximum Mass (t)],"",0)</f>
        <v>20</v>
      </c>
      <c r="V50" t="str" cm="1">
        <f t="array" ref="V50">_xlfn.XLOOKUP(Mass_Data[[#This Row],[axle group 4]]&amp;Mass_Data[[#This Row],[Mass Scheme]],Axle_Data[Axle Code]&amp;Axle_Data[Mass Scheme],Axle_Data[MDL Maximum Mass (t)],"",0)</f>
        <v/>
      </c>
      <c r="W50" t="str" cm="1">
        <f t="array" ref="W50">_xlfn.XLOOKUP(Mass_Data[[#This Row],[axle group 5]]&amp;Mass_Data[[#This Row],[Mass Scheme]],Axle_Data[Axle Code]&amp;Axle_Data[Mass Scheme],Axle_Data[MDL Maximum Mass (t)],"",0)</f>
        <v/>
      </c>
      <c r="X50" t="str" cm="1">
        <f t="array" ref="X50">_xlfn.XLOOKUP(Mass_Data[[#This Row],[axle group 6]]&amp;Mass_Data[[#This Row],[Mass Scheme]],Axle_Data[Axle Code]&amp;Axle_Data[Mass Scheme],Axle_Data[MDL Maximum Mass (t)],"",0)</f>
        <v/>
      </c>
      <c r="Y50" t="str" cm="1">
        <f t="array" ref="Y50">_xlfn.XLOOKUP(Mass_Data[[#This Row],[axle group 7]]&amp;Mass_Data[[#This Row],[Mass Scheme]],Axle_Data[Axle Code]&amp;Axle_Data[Mass Scheme],Axle_Data[MDL Maximum Mass (t)],"",0)</f>
        <v/>
      </c>
      <c r="Z50" s="81">
        <f>SUM(Mass_Data[[#This Row],[MDL axle group 1 mass]:[MDL axle group 7 mass]])</f>
        <v>47.5</v>
      </c>
      <c r="AA50">
        <f>Mass_Data[[#This Row],[Total (1)]]-Mass_Data[[#This Row],[GCM (t)]]</f>
        <v>0</v>
      </c>
      <c r="AB50" t="str">
        <f>IF(Mass_Data[[#This Row],[Difference between MDL and GCM]]=0,"YES","NO")</f>
        <v>YES</v>
      </c>
      <c r="AC50" s="22">
        <f>IFERROR(IF(Mass_Data[[#This Row],[Check (1)]]="YES",Mass_Data[[#This Row],[MDL axle group 1 mass]],Mass_Data[[#This Row],[MDL axle group 1 mass]]-(Mass_Data[[#This Row],[Difference between MDL and GCM]]*(Mass_Data[[#This Row],[MDL axle group 1 mass]]/Mass_Data[[#This Row],[Total (1)]]))),"")</f>
        <v>11</v>
      </c>
      <c r="AD50" s="22">
        <f>IFERROR(IF(Mass_Data[[#This Row],[Check (1)]]="YES",Mass_Data[[#This Row],[MDL axle group 2 mass]],Mass_Data[[#This Row],[MDL axle group 2 mass]]-(Mass_Data[[#This Row],[Difference between MDL and GCM]]*(Mass_Data[[#This Row],[MDL axle group 2 mass]]/Mass_Data[[#This Row],[Total (1)]]))),"")</f>
        <v>16.5</v>
      </c>
      <c r="AE50" s="22">
        <f>IFERROR(IF(Mass_Data[[#This Row],[Check (1)]]="YES",Mass_Data[[#This Row],[MDL axle group 3 mass]],Mass_Data[[#This Row],[MDL axle group 3 mass]]-(Mass_Data[[#This Row],[Difference between MDL and GCM]]*(Mass_Data[[#This Row],[MDL axle group 3 mass]]/Mass_Data[[#This Row],[Total (1)]]))),"")</f>
        <v>20</v>
      </c>
      <c r="AF50" s="22" t="str">
        <f>IFERROR(IF(Mass_Data[[#This Row],[Check (1)]]="YES",Mass_Data[[#This Row],[MDL axle group 4 mass]],Mass_Data[[#This Row],[MDL axle group 4 mass]]-(Mass_Data[[#This Row],[Difference between MDL and GCM]]*(Mass_Data[[#This Row],[MDL axle group 4 mass]]/Mass_Data[[#This Row],[Total (1)]]))),"")</f>
        <v/>
      </c>
      <c r="AG50" s="22" t="str">
        <f>IFERROR(IF(Mass_Data[[#This Row],[Check (1)]]="YES",Mass_Data[[#This Row],[MDL axle group 5 mass]],Mass_Data[[#This Row],[MDL axle group 5 mass]]-(Mass_Data[[#This Row],[Difference between MDL and GCM]]*(Mass_Data[[#This Row],[MDL axle group 5 mass]]/Mass_Data[[#This Row],[Total (1)]]))),"")</f>
        <v/>
      </c>
      <c r="AH50" s="22" t="str">
        <f>IFERROR(IF(Mass_Data[[#This Row],[Check (1)]]="YES",Mass_Data[[#This Row],[MDL axle group 6 mass]],Mass_Data[[#This Row],[MDL axle group 6 mass]]-(Mass_Data[[#This Row],[Difference between MDL and GCM]]*(Mass_Data[[#This Row],[MDL axle group 6 mass]]/Mass_Data[[#This Row],[Total (1)]]))),"")</f>
        <v/>
      </c>
      <c r="AI50" s="22" t="str">
        <f>IFERROR(IF(Mass_Data[[#This Row],[Check (1)]]="YES",Mass_Data[[#This Row],[MDL axle group 7 mass]],Mass_Data[[#This Row],[MDL axle group 7 mass]]-(Mass_Data[[#This Row],[Difference between MDL and GCM]]*(Mass_Data[[#This Row],[MDL axle group 7 mass]]/Mass_Data[[#This Row],[Total (1)]]))),"")</f>
        <v/>
      </c>
      <c r="AJ50" s="81">
        <f>SUM(Mass_Data[[#This Row],[Corrected axle group 1 mass]:[Corrected axle group 7 mass]])</f>
        <v>47.5</v>
      </c>
      <c r="AK50">
        <f>Mass_Data[[#This Row],[Total (2)]]-Mass_Data[[#This Row],[GCM (t)]]</f>
        <v>0</v>
      </c>
      <c r="AL50" s="22" t="str">
        <f>IF(Mass_Data[[#This Row],[Difference between MDL and corrected axle masses]]=0,"YES","NO")</f>
        <v>YES</v>
      </c>
    </row>
    <row r="51" spans="3:38" x14ac:dyDescent="0.35">
      <c r="C51" s="10" t="str">
        <f t="shared" si="0"/>
        <v>PBS - 4-axle prime mover and quad-axle semitrailer (CML): 2</v>
      </c>
      <c r="D51" s="10" t="s">
        <v>193</v>
      </c>
      <c r="E51" s="10" t="s">
        <v>147</v>
      </c>
      <c r="F51" s="10" t="s">
        <v>20</v>
      </c>
      <c r="G51" s="10" t="s">
        <v>4</v>
      </c>
      <c r="H51" t="s">
        <v>123</v>
      </c>
      <c r="I51" s="9">
        <v>48.5</v>
      </c>
      <c r="J51" s="14">
        <v>16.524956626506022</v>
      </c>
      <c r="K51" s="14">
        <f>Mass_Data[[#This Row],[GCM (t)]]-Mass_Data[[#This Row],[Payload (t)]]</f>
        <v>31.975043373493978</v>
      </c>
      <c r="L51" t="s">
        <v>40</v>
      </c>
      <c r="M51" t="s">
        <v>9</v>
      </c>
      <c r="N51" t="s">
        <v>39</v>
      </c>
      <c r="P51">
        <v>0</v>
      </c>
      <c r="Q51">
        <v>0</v>
      </c>
      <c r="R51">
        <v>0</v>
      </c>
      <c r="S51" cm="1">
        <f t="array" ref="S51">_xlfn.XLOOKUP(Mass_Data[[#This Row],[axle group 1]]&amp;Mass_Data[[#This Row],[Mass Scheme]],Axle_Data[Axle Code]&amp;Axle_Data[Mass Scheme],Axle_Data[MDL Maximum Mass (t)],"",0)</f>
        <v>11</v>
      </c>
      <c r="T51" cm="1">
        <f t="array" ref="T51">_xlfn.XLOOKUP(Mass_Data[[#This Row],[axle group 2]]&amp;Mass_Data[[#This Row],[Mass Scheme]],Axle_Data[Axle Code]&amp;Axle_Data[Mass Scheme],Axle_Data[MDL Maximum Mass (t)],"",0)</f>
        <v>17</v>
      </c>
      <c r="U51" cm="1">
        <f t="array" ref="U51">_xlfn.XLOOKUP(Mass_Data[[#This Row],[axle group 3]]&amp;Mass_Data[[#This Row],[Mass Scheme]],Axle_Data[Axle Code]&amp;Axle_Data[Mass Scheme],Axle_Data[MDL Maximum Mass (t)],"",0)</f>
        <v>21</v>
      </c>
      <c r="V51" t="str" cm="1">
        <f t="array" ref="V51">_xlfn.XLOOKUP(Mass_Data[[#This Row],[axle group 4]]&amp;Mass_Data[[#This Row],[Mass Scheme]],Axle_Data[Axle Code]&amp;Axle_Data[Mass Scheme],Axle_Data[MDL Maximum Mass (t)],"",0)</f>
        <v/>
      </c>
      <c r="W51" t="str" cm="1">
        <f t="array" ref="W51">_xlfn.XLOOKUP(Mass_Data[[#This Row],[axle group 5]]&amp;Mass_Data[[#This Row],[Mass Scheme]],Axle_Data[Axle Code]&amp;Axle_Data[Mass Scheme],Axle_Data[MDL Maximum Mass (t)],"",0)</f>
        <v/>
      </c>
      <c r="X51" t="str" cm="1">
        <f t="array" ref="X51">_xlfn.XLOOKUP(Mass_Data[[#This Row],[axle group 6]]&amp;Mass_Data[[#This Row],[Mass Scheme]],Axle_Data[Axle Code]&amp;Axle_Data[Mass Scheme],Axle_Data[MDL Maximum Mass (t)],"",0)</f>
        <v/>
      </c>
      <c r="Y51" t="str" cm="1">
        <f t="array" ref="Y51">_xlfn.XLOOKUP(Mass_Data[[#This Row],[axle group 7]]&amp;Mass_Data[[#This Row],[Mass Scheme]],Axle_Data[Axle Code]&amp;Axle_Data[Mass Scheme],Axle_Data[MDL Maximum Mass (t)],"",0)</f>
        <v/>
      </c>
      <c r="Z51" s="81">
        <f>SUM(Mass_Data[[#This Row],[MDL axle group 1 mass]:[MDL axle group 7 mass]])</f>
        <v>49</v>
      </c>
      <c r="AA51">
        <f>Mass_Data[[#This Row],[Total (1)]]-Mass_Data[[#This Row],[GCM (t)]]</f>
        <v>0.5</v>
      </c>
      <c r="AB51" t="str">
        <f>IF(Mass_Data[[#This Row],[Difference between MDL and GCM]]=0,"YES","NO")</f>
        <v>NO</v>
      </c>
      <c r="AC51" s="22">
        <f>IFERROR(IF(Mass_Data[[#This Row],[Check (1)]]="YES",Mass_Data[[#This Row],[MDL axle group 1 mass]],Mass_Data[[#This Row],[MDL axle group 1 mass]]-(Mass_Data[[#This Row],[Difference between MDL and GCM]]*(Mass_Data[[#This Row],[MDL axle group 1 mass]]/Mass_Data[[#This Row],[Total (1)]]))),"")</f>
        <v>10.887755102040817</v>
      </c>
      <c r="AD51" s="22">
        <f>IFERROR(IF(Mass_Data[[#This Row],[Check (1)]]="YES",Mass_Data[[#This Row],[MDL axle group 2 mass]],Mass_Data[[#This Row],[MDL axle group 2 mass]]-(Mass_Data[[#This Row],[Difference between MDL and GCM]]*(Mass_Data[[#This Row],[MDL axle group 2 mass]]/Mass_Data[[#This Row],[Total (1)]]))),"")</f>
        <v>16.826530612244898</v>
      </c>
      <c r="AE51" s="22">
        <f>IFERROR(IF(Mass_Data[[#This Row],[Check (1)]]="YES",Mass_Data[[#This Row],[MDL axle group 3 mass]],Mass_Data[[#This Row],[MDL axle group 3 mass]]-(Mass_Data[[#This Row],[Difference between MDL and GCM]]*(Mass_Data[[#This Row],[MDL axle group 3 mass]]/Mass_Data[[#This Row],[Total (1)]]))),"")</f>
        <v>20.785714285714285</v>
      </c>
      <c r="AF51" s="22" t="str">
        <f>IFERROR(IF(Mass_Data[[#This Row],[Check (1)]]="YES",Mass_Data[[#This Row],[MDL axle group 4 mass]],Mass_Data[[#This Row],[MDL axle group 4 mass]]-(Mass_Data[[#This Row],[Difference between MDL and GCM]]*(Mass_Data[[#This Row],[MDL axle group 4 mass]]/Mass_Data[[#This Row],[Total (1)]]))),"")</f>
        <v/>
      </c>
      <c r="AG51" s="22" t="str">
        <f>IFERROR(IF(Mass_Data[[#This Row],[Check (1)]]="YES",Mass_Data[[#This Row],[MDL axle group 5 mass]],Mass_Data[[#This Row],[MDL axle group 5 mass]]-(Mass_Data[[#This Row],[Difference between MDL and GCM]]*(Mass_Data[[#This Row],[MDL axle group 5 mass]]/Mass_Data[[#This Row],[Total (1)]]))),"")</f>
        <v/>
      </c>
      <c r="AH51" s="22" t="str">
        <f>IFERROR(IF(Mass_Data[[#This Row],[Check (1)]]="YES",Mass_Data[[#This Row],[MDL axle group 6 mass]],Mass_Data[[#This Row],[MDL axle group 6 mass]]-(Mass_Data[[#This Row],[Difference between MDL and GCM]]*(Mass_Data[[#This Row],[MDL axle group 6 mass]]/Mass_Data[[#This Row],[Total (1)]]))),"")</f>
        <v/>
      </c>
      <c r="AI51" s="22" t="str">
        <f>IFERROR(IF(Mass_Data[[#This Row],[Check (1)]]="YES",Mass_Data[[#This Row],[MDL axle group 7 mass]],Mass_Data[[#This Row],[MDL axle group 7 mass]]-(Mass_Data[[#This Row],[Difference between MDL and GCM]]*(Mass_Data[[#This Row],[MDL axle group 7 mass]]/Mass_Data[[#This Row],[Total (1)]]))),"")</f>
        <v/>
      </c>
      <c r="AJ51" s="81">
        <f>SUM(Mass_Data[[#This Row],[Corrected axle group 1 mass]:[Corrected axle group 7 mass]])</f>
        <v>48.5</v>
      </c>
      <c r="AK51">
        <f>Mass_Data[[#This Row],[Total (2)]]-Mass_Data[[#This Row],[GCM (t)]]</f>
        <v>0</v>
      </c>
      <c r="AL51" s="22" t="str">
        <f>IF(Mass_Data[[#This Row],[Difference between MDL and corrected axle masses]]=0,"YES","NO")</f>
        <v>YES</v>
      </c>
    </row>
    <row r="52" spans="3:38" x14ac:dyDescent="0.35">
      <c r="C52" s="10" t="str">
        <f t="shared" si="0"/>
        <v>PBS - 4-axle prime mover and quad-axle semitrailer (HML): 2</v>
      </c>
      <c r="D52" s="10" t="s">
        <v>193</v>
      </c>
      <c r="E52" s="10" t="s">
        <v>147</v>
      </c>
      <c r="F52" s="10" t="s">
        <v>7</v>
      </c>
      <c r="G52" s="10" t="s">
        <v>4</v>
      </c>
      <c r="H52" t="s">
        <v>123</v>
      </c>
      <c r="I52" s="9">
        <v>55</v>
      </c>
      <c r="J52" s="14">
        <v>23.024956626506022</v>
      </c>
      <c r="K52" s="14">
        <f>Mass_Data[[#This Row],[GCM (t)]]-Mass_Data[[#This Row],[Payload (t)]]</f>
        <v>31.975043373493978</v>
      </c>
      <c r="L52" t="s">
        <v>40</v>
      </c>
      <c r="M52" t="s">
        <v>9</v>
      </c>
      <c r="N52" t="s">
        <v>39</v>
      </c>
      <c r="P52">
        <v>0</v>
      </c>
      <c r="Q52">
        <v>0</v>
      </c>
      <c r="R52">
        <v>0</v>
      </c>
      <c r="S52" cm="1">
        <f t="array" ref="S52">_xlfn.XLOOKUP(Mass_Data[[#This Row],[axle group 1]]&amp;Mass_Data[[#This Row],[Mass Scheme]],Axle_Data[Axle Code]&amp;Axle_Data[Mass Scheme],Axle_Data[MDL Maximum Mass (t)],"",0)</f>
        <v>11</v>
      </c>
      <c r="T52" cm="1">
        <f t="array" ref="T52">_xlfn.XLOOKUP(Mass_Data[[#This Row],[axle group 2]]&amp;Mass_Data[[#This Row],[Mass Scheme]],Axle_Data[Axle Code]&amp;Axle_Data[Mass Scheme],Axle_Data[MDL Maximum Mass (t)],"",0)</f>
        <v>17</v>
      </c>
      <c r="U52" cm="1">
        <f t="array" ref="U52">_xlfn.XLOOKUP(Mass_Data[[#This Row],[axle group 3]]&amp;Mass_Data[[#This Row],[Mass Scheme]],Axle_Data[Axle Code]&amp;Axle_Data[Mass Scheme],Axle_Data[MDL Maximum Mass (t)],"",0)</f>
        <v>27</v>
      </c>
      <c r="V52" t="str" cm="1">
        <f t="array" ref="V52">_xlfn.XLOOKUP(Mass_Data[[#This Row],[axle group 4]]&amp;Mass_Data[[#This Row],[Mass Scheme]],Axle_Data[Axle Code]&amp;Axle_Data[Mass Scheme],Axle_Data[MDL Maximum Mass (t)],"",0)</f>
        <v/>
      </c>
      <c r="W52" t="str" cm="1">
        <f t="array" ref="W52">_xlfn.XLOOKUP(Mass_Data[[#This Row],[axle group 5]]&amp;Mass_Data[[#This Row],[Mass Scheme]],Axle_Data[Axle Code]&amp;Axle_Data[Mass Scheme],Axle_Data[MDL Maximum Mass (t)],"",0)</f>
        <v/>
      </c>
      <c r="X52" t="str" cm="1">
        <f t="array" ref="X52">_xlfn.XLOOKUP(Mass_Data[[#This Row],[axle group 6]]&amp;Mass_Data[[#This Row],[Mass Scheme]],Axle_Data[Axle Code]&amp;Axle_Data[Mass Scheme],Axle_Data[MDL Maximum Mass (t)],"",0)</f>
        <v/>
      </c>
      <c r="Y52" t="str" cm="1">
        <f t="array" ref="Y52">_xlfn.XLOOKUP(Mass_Data[[#This Row],[axle group 7]]&amp;Mass_Data[[#This Row],[Mass Scheme]],Axle_Data[Axle Code]&amp;Axle_Data[Mass Scheme],Axle_Data[MDL Maximum Mass (t)],"",0)</f>
        <v/>
      </c>
      <c r="Z52" s="81">
        <f>SUM(Mass_Data[[#This Row],[MDL axle group 1 mass]:[MDL axle group 7 mass]])</f>
        <v>55</v>
      </c>
      <c r="AA52">
        <f>Mass_Data[[#This Row],[Total (1)]]-Mass_Data[[#This Row],[GCM (t)]]</f>
        <v>0</v>
      </c>
      <c r="AB52" t="str">
        <f>IF(Mass_Data[[#This Row],[Difference between MDL and GCM]]=0,"YES","NO")</f>
        <v>YES</v>
      </c>
      <c r="AC52" s="22">
        <f>IFERROR(IF(Mass_Data[[#This Row],[Check (1)]]="YES",Mass_Data[[#This Row],[MDL axle group 1 mass]],Mass_Data[[#This Row],[MDL axle group 1 mass]]-(Mass_Data[[#This Row],[Difference between MDL and GCM]]*(Mass_Data[[#This Row],[MDL axle group 1 mass]]/Mass_Data[[#This Row],[Total (1)]]))),"")</f>
        <v>11</v>
      </c>
      <c r="AD52" s="22">
        <f>IFERROR(IF(Mass_Data[[#This Row],[Check (1)]]="YES",Mass_Data[[#This Row],[MDL axle group 2 mass]],Mass_Data[[#This Row],[MDL axle group 2 mass]]-(Mass_Data[[#This Row],[Difference between MDL and GCM]]*(Mass_Data[[#This Row],[MDL axle group 2 mass]]/Mass_Data[[#This Row],[Total (1)]]))),"")</f>
        <v>17</v>
      </c>
      <c r="AE52" s="22">
        <f>IFERROR(IF(Mass_Data[[#This Row],[Check (1)]]="YES",Mass_Data[[#This Row],[MDL axle group 3 mass]],Mass_Data[[#This Row],[MDL axle group 3 mass]]-(Mass_Data[[#This Row],[Difference between MDL and GCM]]*(Mass_Data[[#This Row],[MDL axle group 3 mass]]/Mass_Data[[#This Row],[Total (1)]]))),"")</f>
        <v>27</v>
      </c>
      <c r="AF52" s="22" t="str">
        <f>IFERROR(IF(Mass_Data[[#This Row],[Check (1)]]="YES",Mass_Data[[#This Row],[MDL axle group 4 mass]],Mass_Data[[#This Row],[MDL axle group 4 mass]]-(Mass_Data[[#This Row],[Difference between MDL and GCM]]*(Mass_Data[[#This Row],[MDL axle group 4 mass]]/Mass_Data[[#This Row],[Total (1)]]))),"")</f>
        <v/>
      </c>
      <c r="AG52" s="22" t="str">
        <f>IFERROR(IF(Mass_Data[[#This Row],[Check (1)]]="YES",Mass_Data[[#This Row],[MDL axle group 5 mass]],Mass_Data[[#This Row],[MDL axle group 5 mass]]-(Mass_Data[[#This Row],[Difference between MDL and GCM]]*(Mass_Data[[#This Row],[MDL axle group 5 mass]]/Mass_Data[[#This Row],[Total (1)]]))),"")</f>
        <v/>
      </c>
      <c r="AH52" s="22" t="str">
        <f>IFERROR(IF(Mass_Data[[#This Row],[Check (1)]]="YES",Mass_Data[[#This Row],[MDL axle group 6 mass]],Mass_Data[[#This Row],[MDL axle group 6 mass]]-(Mass_Data[[#This Row],[Difference between MDL and GCM]]*(Mass_Data[[#This Row],[MDL axle group 6 mass]]/Mass_Data[[#This Row],[Total (1)]]))),"")</f>
        <v/>
      </c>
      <c r="AI52" s="22" t="str">
        <f>IFERROR(IF(Mass_Data[[#This Row],[Check (1)]]="YES",Mass_Data[[#This Row],[MDL axle group 7 mass]],Mass_Data[[#This Row],[MDL axle group 7 mass]]-(Mass_Data[[#This Row],[Difference between MDL and GCM]]*(Mass_Data[[#This Row],[MDL axle group 7 mass]]/Mass_Data[[#This Row],[Total (1)]]))),"")</f>
        <v/>
      </c>
      <c r="AJ52" s="81">
        <f>SUM(Mass_Data[[#This Row],[Corrected axle group 1 mass]:[Corrected axle group 7 mass]])</f>
        <v>55</v>
      </c>
      <c r="AK52">
        <f>Mass_Data[[#This Row],[Total (2)]]-Mass_Data[[#This Row],[GCM (t)]]</f>
        <v>0</v>
      </c>
      <c r="AL52" s="22" t="str">
        <f>IF(Mass_Data[[#This Row],[Difference between MDL and corrected axle masses]]=0,"YES","NO")</f>
        <v>YES</v>
      </c>
    </row>
    <row r="53" spans="3:38" x14ac:dyDescent="0.35">
      <c r="C53" s="10" t="str">
        <f t="shared" si="0"/>
        <v>PBS - Prime mover and semitrailer with 2 axle groups (2-1) (GML): 1</v>
      </c>
      <c r="D53" s="10" t="s">
        <v>191</v>
      </c>
      <c r="E53" s="10" t="s">
        <v>147</v>
      </c>
      <c r="F53" s="10" t="s">
        <v>18</v>
      </c>
      <c r="G53" s="10" t="s">
        <v>3</v>
      </c>
      <c r="H53" t="s">
        <v>124</v>
      </c>
      <c r="I53" s="9">
        <v>48</v>
      </c>
      <c r="J53" s="14">
        <v>26.321919925394159</v>
      </c>
      <c r="K53" s="14">
        <f>Mass_Data[[#This Row],[GCM (t)]]-Mass_Data[[#This Row],[Payload (t)]]</f>
        <v>21.678080074605841</v>
      </c>
      <c r="L53" t="s">
        <v>8</v>
      </c>
      <c r="M53" t="s">
        <v>9</v>
      </c>
      <c r="N53" t="s">
        <v>30</v>
      </c>
      <c r="O53" t="s">
        <v>24</v>
      </c>
      <c r="P53">
        <v>0</v>
      </c>
      <c r="Q53">
        <v>0</v>
      </c>
      <c r="R53">
        <v>0</v>
      </c>
      <c r="S53" cm="1">
        <f t="array" ref="S53">_xlfn.XLOOKUP(Mass_Data[[#This Row],[axle group 1]]&amp;Mass_Data[[#This Row],[Mass Scheme]],Axle_Data[Axle Code]&amp;Axle_Data[Mass Scheme],Axle_Data[MDL Maximum Mass (t)],"",0)</f>
        <v>6.5</v>
      </c>
      <c r="T53" cm="1">
        <f t="array" ref="T53">_xlfn.XLOOKUP(Mass_Data[[#This Row],[axle group 2]]&amp;Mass_Data[[#This Row],[Mass Scheme]],Axle_Data[Axle Code]&amp;Axle_Data[Mass Scheme],Axle_Data[MDL Maximum Mass (t)],"",0)</f>
        <v>16.5</v>
      </c>
      <c r="U53" cm="1">
        <f t="array" ref="U53">_xlfn.XLOOKUP(Mass_Data[[#This Row],[axle group 3]]&amp;Mass_Data[[#This Row],[Mass Scheme]],Axle_Data[Axle Code]&amp;Axle_Data[Mass Scheme],Axle_Data[MDL Maximum Mass (t)],"",0)</f>
        <v>16.5</v>
      </c>
      <c r="V53" cm="1">
        <f t="array" ref="V53">_xlfn.XLOOKUP(Mass_Data[[#This Row],[axle group 4]]&amp;Mass_Data[[#This Row],[Mass Scheme]],Axle_Data[Axle Code]&amp;Axle_Data[Mass Scheme],Axle_Data[MDL Maximum Mass (t)],"",0)</f>
        <v>9</v>
      </c>
      <c r="W53" t="str" cm="1">
        <f t="array" ref="W53">_xlfn.XLOOKUP(Mass_Data[[#This Row],[axle group 5]]&amp;Mass_Data[[#This Row],[Mass Scheme]],Axle_Data[Axle Code]&amp;Axle_Data[Mass Scheme],Axle_Data[MDL Maximum Mass (t)],"",0)</f>
        <v/>
      </c>
      <c r="X53" t="str" cm="1">
        <f t="array" ref="X53">_xlfn.XLOOKUP(Mass_Data[[#This Row],[axle group 6]]&amp;Mass_Data[[#This Row],[Mass Scheme]],Axle_Data[Axle Code]&amp;Axle_Data[Mass Scheme],Axle_Data[MDL Maximum Mass (t)],"",0)</f>
        <v/>
      </c>
      <c r="Y53" t="str" cm="1">
        <f t="array" ref="Y53">_xlfn.XLOOKUP(Mass_Data[[#This Row],[axle group 7]]&amp;Mass_Data[[#This Row],[Mass Scheme]],Axle_Data[Axle Code]&amp;Axle_Data[Mass Scheme],Axle_Data[MDL Maximum Mass (t)],"",0)</f>
        <v/>
      </c>
      <c r="Z53" s="81">
        <f>SUM(Mass_Data[[#This Row],[MDL axle group 1 mass]:[MDL axle group 7 mass]])</f>
        <v>48.5</v>
      </c>
      <c r="AA53">
        <f>Mass_Data[[#This Row],[Total (1)]]-Mass_Data[[#This Row],[GCM (t)]]</f>
        <v>0.5</v>
      </c>
      <c r="AB53" t="str">
        <f>IF(Mass_Data[[#This Row],[Difference between MDL and GCM]]=0,"YES","NO")</f>
        <v>NO</v>
      </c>
      <c r="AC53" s="22">
        <f>IFERROR(IF(Mass_Data[[#This Row],[Check (1)]]="YES",Mass_Data[[#This Row],[MDL axle group 1 mass]],Mass_Data[[#This Row],[MDL axle group 1 mass]]-(Mass_Data[[#This Row],[Difference between MDL and GCM]]*(Mass_Data[[#This Row],[MDL axle group 1 mass]]/Mass_Data[[#This Row],[Total (1)]]))),"")</f>
        <v>6.4329896907216497</v>
      </c>
      <c r="AD53" s="22">
        <f>IFERROR(IF(Mass_Data[[#This Row],[Check (1)]]="YES",Mass_Data[[#This Row],[MDL axle group 2 mass]],Mass_Data[[#This Row],[MDL axle group 2 mass]]-(Mass_Data[[#This Row],[Difference between MDL and GCM]]*(Mass_Data[[#This Row],[MDL axle group 2 mass]]/Mass_Data[[#This Row],[Total (1)]]))),"")</f>
        <v>16.329896907216494</v>
      </c>
      <c r="AE53" s="22">
        <f>IFERROR(IF(Mass_Data[[#This Row],[Check (1)]]="YES",Mass_Data[[#This Row],[MDL axle group 3 mass]],Mass_Data[[#This Row],[MDL axle group 3 mass]]-(Mass_Data[[#This Row],[Difference between MDL and GCM]]*(Mass_Data[[#This Row],[MDL axle group 3 mass]]/Mass_Data[[#This Row],[Total (1)]]))),"")</f>
        <v>16.329896907216494</v>
      </c>
      <c r="AF53" s="22">
        <f>IFERROR(IF(Mass_Data[[#This Row],[Check (1)]]="YES",Mass_Data[[#This Row],[MDL axle group 4 mass]],Mass_Data[[#This Row],[MDL axle group 4 mass]]-(Mass_Data[[#This Row],[Difference between MDL and GCM]]*(Mass_Data[[#This Row],[MDL axle group 4 mass]]/Mass_Data[[#This Row],[Total (1)]]))),"")</f>
        <v>8.9072164948453612</v>
      </c>
      <c r="AG53" s="22" t="str">
        <f>IFERROR(IF(Mass_Data[[#This Row],[Check (1)]]="YES",Mass_Data[[#This Row],[MDL axle group 5 mass]],Mass_Data[[#This Row],[MDL axle group 5 mass]]-(Mass_Data[[#This Row],[Difference between MDL and GCM]]*(Mass_Data[[#This Row],[MDL axle group 5 mass]]/Mass_Data[[#This Row],[Total (1)]]))),"")</f>
        <v/>
      </c>
      <c r="AH53" s="22" t="str">
        <f>IFERROR(IF(Mass_Data[[#This Row],[Check (1)]]="YES",Mass_Data[[#This Row],[MDL axle group 6 mass]],Mass_Data[[#This Row],[MDL axle group 6 mass]]-(Mass_Data[[#This Row],[Difference between MDL and GCM]]*(Mass_Data[[#This Row],[MDL axle group 6 mass]]/Mass_Data[[#This Row],[Total (1)]]))),"")</f>
        <v/>
      </c>
      <c r="AI53" s="22" t="str">
        <f>IFERROR(IF(Mass_Data[[#This Row],[Check (1)]]="YES",Mass_Data[[#This Row],[MDL axle group 7 mass]],Mass_Data[[#This Row],[MDL axle group 7 mass]]-(Mass_Data[[#This Row],[Difference between MDL and GCM]]*(Mass_Data[[#This Row],[MDL axle group 7 mass]]/Mass_Data[[#This Row],[Total (1)]]))),"")</f>
        <v/>
      </c>
      <c r="AJ53" s="81">
        <f>SUM(Mass_Data[[#This Row],[Corrected axle group 1 mass]:[Corrected axle group 7 mass]])</f>
        <v>48</v>
      </c>
      <c r="AK53">
        <f>Mass_Data[[#This Row],[Total (2)]]-Mass_Data[[#This Row],[GCM (t)]]</f>
        <v>0</v>
      </c>
      <c r="AL53" s="22" t="str">
        <f>IF(Mass_Data[[#This Row],[Difference between MDL and corrected axle masses]]=0,"YES","NO")</f>
        <v>YES</v>
      </c>
    </row>
    <row r="54" spans="3:38" x14ac:dyDescent="0.35">
      <c r="C54" s="10" t="str">
        <f t="shared" si="0"/>
        <v>PBS - Prime mover and semitrailer with 2 axle groups (2-1) (CML): 1</v>
      </c>
      <c r="D54" s="10" t="s">
        <v>191</v>
      </c>
      <c r="E54" s="10" t="s">
        <v>147</v>
      </c>
      <c r="F54" s="10" t="s">
        <v>20</v>
      </c>
      <c r="G54" s="10" t="s">
        <v>3</v>
      </c>
      <c r="H54" t="s">
        <v>124</v>
      </c>
      <c r="I54" s="9">
        <v>49</v>
      </c>
      <c r="J54" s="14">
        <v>27.321919925394159</v>
      </c>
      <c r="K54" s="14">
        <f>Mass_Data[[#This Row],[GCM (t)]]-Mass_Data[[#This Row],[Payload (t)]]</f>
        <v>21.678080074605841</v>
      </c>
      <c r="L54" t="s">
        <v>8</v>
      </c>
      <c r="M54" t="s">
        <v>9</v>
      </c>
      <c r="N54" t="s">
        <v>30</v>
      </c>
      <c r="O54" t="s">
        <v>24</v>
      </c>
      <c r="P54">
        <v>0</v>
      </c>
      <c r="Q54">
        <v>0</v>
      </c>
      <c r="R54">
        <v>0</v>
      </c>
      <c r="S54" cm="1">
        <f t="array" ref="S54">_xlfn.XLOOKUP(Mass_Data[[#This Row],[axle group 1]]&amp;Mass_Data[[#This Row],[Mass Scheme]],Axle_Data[Axle Code]&amp;Axle_Data[Mass Scheme],Axle_Data[MDL Maximum Mass (t)],"",0)</f>
        <v>6.5</v>
      </c>
      <c r="T54" cm="1">
        <f t="array" ref="T54">_xlfn.XLOOKUP(Mass_Data[[#This Row],[axle group 2]]&amp;Mass_Data[[#This Row],[Mass Scheme]],Axle_Data[Axle Code]&amp;Axle_Data[Mass Scheme],Axle_Data[MDL Maximum Mass (t)],"",0)</f>
        <v>17</v>
      </c>
      <c r="U54" cm="1">
        <f t="array" ref="U54">_xlfn.XLOOKUP(Mass_Data[[#This Row],[axle group 3]]&amp;Mass_Data[[#This Row],[Mass Scheme]],Axle_Data[Axle Code]&amp;Axle_Data[Mass Scheme],Axle_Data[MDL Maximum Mass (t)],"",0)</f>
        <v>17</v>
      </c>
      <c r="V54" cm="1">
        <f t="array" ref="V54">_xlfn.XLOOKUP(Mass_Data[[#This Row],[axle group 4]]&amp;Mass_Data[[#This Row],[Mass Scheme]],Axle_Data[Axle Code]&amp;Axle_Data[Mass Scheme],Axle_Data[MDL Maximum Mass (t)],"",0)</f>
        <v>9</v>
      </c>
      <c r="W54" t="str" cm="1">
        <f t="array" ref="W54">_xlfn.XLOOKUP(Mass_Data[[#This Row],[axle group 5]]&amp;Mass_Data[[#This Row],[Mass Scheme]],Axle_Data[Axle Code]&amp;Axle_Data[Mass Scheme],Axle_Data[MDL Maximum Mass (t)],"",0)</f>
        <v/>
      </c>
      <c r="X54" t="str" cm="1">
        <f t="array" ref="X54">_xlfn.XLOOKUP(Mass_Data[[#This Row],[axle group 6]]&amp;Mass_Data[[#This Row],[Mass Scheme]],Axle_Data[Axle Code]&amp;Axle_Data[Mass Scheme],Axle_Data[MDL Maximum Mass (t)],"",0)</f>
        <v/>
      </c>
      <c r="Y54" t="str" cm="1">
        <f t="array" ref="Y54">_xlfn.XLOOKUP(Mass_Data[[#This Row],[axle group 7]]&amp;Mass_Data[[#This Row],[Mass Scheme]],Axle_Data[Axle Code]&amp;Axle_Data[Mass Scheme],Axle_Data[MDL Maximum Mass (t)],"",0)</f>
        <v/>
      </c>
      <c r="Z54" s="81">
        <f>SUM(Mass_Data[[#This Row],[MDL axle group 1 mass]:[MDL axle group 7 mass]])</f>
        <v>49.5</v>
      </c>
      <c r="AA54">
        <f>Mass_Data[[#This Row],[Total (1)]]-Mass_Data[[#This Row],[GCM (t)]]</f>
        <v>0.5</v>
      </c>
      <c r="AB54" t="str">
        <f>IF(Mass_Data[[#This Row],[Difference between MDL and GCM]]=0,"YES","NO")</f>
        <v>NO</v>
      </c>
      <c r="AC54" s="22">
        <f>IFERROR(IF(Mass_Data[[#This Row],[Check (1)]]="YES",Mass_Data[[#This Row],[MDL axle group 1 mass]],Mass_Data[[#This Row],[MDL axle group 1 mass]]-(Mass_Data[[#This Row],[Difference between MDL and GCM]]*(Mass_Data[[#This Row],[MDL axle group 1 mass]]/Mass_Data[[#This Row],[Total (1)]]))),"")</f>
        <v>6.4343434343434343</v>
      </c>
      <c r="AD54" s="22">
        <f>IFERROR(IF(Mass_Data[[#This Row],[Check (1)]]="YES",Mass_Data[[#This Row],[MDL axle group 2 mass]],Mass_Data[[#This Row],[MDL axle group 2 mass]]-(Mass_Data[[#This Row],[Difference between MDL and GCM]]*(Mass_Data[[#This Row],[MDL axle group 2 mass]]/Mass_Data[[#This Row],[Total (1)]]))),"")</f>
        <v>16.828282828282827</v>
      </c>
      <c r="AE54" s="22">
        <f>IFERROR(IF(Mass_Data[[#This Row],[Check (1)]]="YES",Mass_Data[[#This Row],[MDL axle group 3 mass]],Mass_Data[[#This Row],[MDL axle group 3 mass]]-(Mass_Data[[#This Row],[Difference between MDL and GCM]]*(Mass_Data[[#This Row],[MDL axle group 3 mass]]/Mass_Data[[#This Row],[Total (1)]]))),"")</f>
        <v>16.828282828282827</v>
      </c>
      <c r="AF54" s="22">
        <f>IFERROR(IF(Mass_Data[[#This Row],[Check (1)]]="YES",Mass_Data[[#This Row],[MDL axle group 4 mass]],Mass_Data[[#This Row],[MDL axle group 4 mass]]-(Mass_Data[[#This Row],[Difference between MDL and GCM]]*(Mass_Data[[#This Row],[MDL axle group 4 mass]]/Mass_Data[[#This Row],[Total (1)]]))),"")</f>
        <v>8.9090909090909083</v>
      </c>
      <c r="AG54" s="22" t="str">
        <f>IFERROR(IF(Mass_Data[[#This Row],[Check (1)]]="YES",Mass_Data[[#This Row],[MDL axle group 5 mass]],Mass_Data[[#This Row],[MDL axle group 5 mass]]-(Mass_Data[[#This Row],[Difference between MDL and GCM]]*(Mass_Data[[#This Row],[MDL axle group 5 mass]]/Mass_Data[[#This Row],[Total (1)]]))),"")</f>
        <v/>
      </c>
      <c r="AH54" s="22" t="str">
        <f>IFERROR(IF(Mass_Data[[#This Row],[Check (1)]]="YES",Mass_Data[[#This Row],[MDL axle group 6 mass]],Mass_Data[[#This Row],[MDL axle group 6 mass]]-(Mass_Data[[#This Row],[Difference between MDL and GCM]]*(Mass_Data[[#This Row],[MDL axle group 6 mass]]/Mass_Data[[#This Row],[Total (1)]]))),"")</f>
        <v/>
      </c>
      <c r="AI54" s="22" t="str">
        <f>IFERROR(IF(Mass_Data[[#This Row],[Check (1)]]="YES",Mass_Data[[#This Row],[MDL axle group 7 mass]],Mass_Data[[#This Row],[MDL axle group 7 mass]]-(Mass_Data[[#This Row],[Difference between MDL and GCM]]*(Mass_Data[[#This Row],[MDL axle group 7 mass]]/Mass_Data[[#This Row],[Total (1)]]))),"")</f>
        <v/>
      </c>
      <c r="AJ54" s="81">
        <f>SUM(Mass_Data[[#This Row],[Corrected axle group 1 mass]:[Corrected axle group 7 mass]])</f>
        <v>49</v>
      </c>
      <c r="AK54">
        <f>Mass_Data[[#This Row],[Total (2)]]-Mass_Data[[#This Row],[GCM (t)]]</f>
        <v>0</v>
      </c>
      <c r="AL54" s="22" t="str">
        <f>IF(Mass_Data[[#This Row],[Difference between MDL and corrected axle masses]]=0,"YES","NO")</f>
        <v>YES</v>
      </c>
    </row>
    <row r="55" spans="3:38" x14ac:dyDescent="0.35">
      <c r="C55" s="10" t="str">
        <f t="shared" si="0"/>
        <v>PBS - Prime mover and semitrailer with 2 axle groups (2-1) (HML): 1</v>
      </c>
      <c r="D55" s="10" t="s">
        <v>191</v>
      </c>
      <c r="E55" s="10" t="s">
        <v>147</v>
      </c>
      <c r="F55" s="10" t="s">
        <v>7</v>
      </c>
      <c r="G55" s="10" t="s">
        <v>3</v>
      </c>
      <c r="H55" t="s">
        <v>124</v>
      </c>
      <c r="I55" s="9">
        <v>49</v>
      </c>
      <c r="J55" s="14">
        <v>27.321919925394159</v>
      </c>
      <c r="K55" s="14">
        <f>Mass_Data[[#This Row],[GCM (t)]]-Mass_Data[[#This Row],[Payload (t)]]</f>
        <v>21.678080074605841</v>
      </c>
      <c r="L55" t="s">
        <v>8</v>
      </c>
      <c r="M55" t="s">
        <v>9</v>
      </c>
      <c r="N55" t="s">
        <v>30</v>
      </c>
      <c r="O55" t="s">
        <v>24</v>
      </c>
      <c r="P55">
        <v>0</v>
      </c>
      <c r="Q55">
        <v>0</v>
      </c>
      <c r="R55">
        <v>0</v>
      </c>
      <c r="S55" cm="1">
        <f t="array" ref="S55">_xlfn.XLOOKUP(Mass_Data[[#This Row],[axle group 1]]&amp;Mass_Data[[#This Row],[Mass Scheme]],Axle_Data[Axle Code]&amp;Axle_Data[Mass Scheme],Axle_Data[MDL Maximum Mass (t)],"",0)</f>
        <v>6.5</v>
      </c>
      <c r="T55" cm="1">
        <f t="array" ref="T55">_xlfn.XLOOKUP(Mass_Data[[#This Row],[axle group 2]]&amp;Mass_Data[[#This Row],[Mass Scheme]],Axle_Data[Axle Code]&amp;Axle_Data[Mass Scheme],Axle_Data[MDL Maximum Mass (t)],"",0)</f>
        <v>17</v>
      </c>
      <c r="U55" cm="1">
        <f t="array" ref="U55">_xlfn.XLOOKUP(Mass_Data[[#This Row],[axle group 3]]&amp;Mass_Data[[#This Row],[Mass Scheme]],Axle_Data[Axle Code]&amp;Axle_Data[Mass Scheme],Axle_Data[MDL Maximum Mass (t)],"",0)</f>
        <v>17</v>
      </c>
      <c r="V55" cm="1">
        <f t="array" ref="V55">_xlfn.XLOOKUP(Mass_Data[[#This Row],[axle group 4]]&amp;Mass_Data[[#This Row],[Mass Scheme]],Axle_Data[Axle Code]&amp;Axle_Data[Mass Scheme],Axle_Data[MDL Maximum Mass (t)],"",0)</f>
        <v>9</v>
      </c>
      <c r="W55" t="str" cm="1">
        <f t="array" ref="W55">_xlfn.XLOOKUP(Mass_Data[[#This Row],[axle group 5]]&amp;Mass_Data[[#This Row],[Mass Scheme]],Axle_Data[Axle Code]&amp;Axle_Data[Mass Scheme],Axle_Data[MDL Maximum Mass (t)],"",0)</f>
        <v/>
      </c>
      <c r="X55" t="str" cm="1">
        <f t="array" ref="X55">_xlfn.XLOOKUP(Mass_Data[[#This Row],[axle group 6]]&amp;Mass_Data[[#This Row],[Mass Scheme]],Axle_Data[Axle Code]&amp;Axle_Data[Mass Scheme],Axle_Data[MDL Maximum Mass (t)],"",0)</f>
        <v/>
      </c>
      <c r="Y55" t="str" cm="1">
        <f t="array" ref="Y55">_xlfn.XLOOKUP(Mass_Data[[#This Row],[axle group 7]]&amp;Mass_Data[[#This Row],[Mass Scheme]],Axle_Data[Axle Code]&amp;Axle_Data[Mass Scheme],Axle_Data[MDL Maximum Mass (t)],"",0)</f>
        <v/>
      </c>
      <c r="Z55" s="81">
        <f>SUM(Mass_Data[[#This Row],[MDL axle group 1 mass]:[MDL axle group 7 mass]])</f>
        <v>49.5</v>
      </c>
      <c r="AA55">
        <f>Mass_Data[[#This Row],[Total (1)]]-Mass_Data[[#This Row],[GCM (t)]]</f>
        <v>0.5</v>
      </c>
      <c r="AB55" t="str">
        <f>IF(Mass_Data[[#This Row],[Difference between MDL and GCM]]=0,"YES","NO")</f>
        <v>NO</v>
      </c>
      <c r="AC55" s="22">
        <f>IFERROR(IF(Mass_Data[[#This Row],[Check (1)]]="YES",Mass_Data[[#This Row],[MDL axle group 1 mass]],Mass_Data[[#This Row],[MDL axle group 1 mass]]-(Mass_Data[[#This Row],[Difference between MDL and GCM]]*(Mass_Data[[#This Row],[MDL axle group 1 mass]]/Mass_Data[[#This Row],[Total (1)]]))),"")</f>
        <v>6.4343434343434343</v>
      </c>
      <c r="AD55" s="22">
        <f>IFERROR(IF(Mass_Data[[#This Row],[Check (1)]]="YES",Mass_Data[[#This Row],[MDL axle group 2 mass]],Mass_Data[[#This Row],[MDL axle group 2 mass]]-(Mass_Data[[#This Row],[Difference between MDL and GCM]]*(Mass_Data[[#This Row],[MDL axle group 2 mass]]/Mass_Data[[#This Row],[Total (1)]]))),"")</f>
        <v>16.828282828282827</v>
      </c>
      <c r="AE55" s="22">
        <f>IFERROR(IF(Mass_Data[[#This Row],[Check (1)]]="YES",Mass_Data[[#This Row],[MDL axle group 3 mass]],Mass_Data[[#This Row],[MDL axle group 3 mass]]-(Mass_Data[[#This Row],[Difference between MDL and GCM]]*(Mass_Data[[#This Row],[MDL axle group 3 mass]]/Mass_Data[[#This Row],[Total (1)]]))),"")</f>
        <v>16.828282828282827</v>
      </c>
      <c r="AF55" s="22">
        <f>IFERROR(IF(Mass_Data[[#This Row],[Check (1)]]="YES",Mass_Data[[#This Row],[MDL axle group 4 mass]],Mass_Data[[#This Row],[MDL axle group 4 mass]]-(Mass_Data[[#This Row],[Difference between MDL and GCM]]*(Mass_Data[[#This Row],[MDL axle group 4 mass]]/Mass_Data[[#This Row],[Total (1)]]))),"")</f>
        <v>8.9090909090909083</v>
      </c>
      <c r="AG55" s="22" t="str">
        <f>IFERROR(IF(Mass_Data[[#This Row],[Check (1)]]="YES",Mass_Data[[#This Row],[MDL axle group 5 mass]],Mass_Data[[#This Row],[MDL axle group 5 mass]]-(Mass_Data[[#This Row],[Difference between MDL and GCM]]*(Mass_Data[[#This Row],[MDL axle group 5 mass]]/Mass_Data[[#This Row],[Total (1)]]))),"")</f>
        <v/>
      </c>
      <c r="AH55" s="22" t="str">
        <f>IFERROR(IF(Mass_Data[[#This Row],[Check (1)]]="YES",Mass_Data[[#This Row],[MDL axle group 6 mass]],Mass_Data[[#This Row],[MDL axle group 6 mass]]-(Mass_Data[[#This Row],[Difference between MDL and GCM]]*(Mass_Data[[#This Row],[MDL axle group 6 mass]]/Mass_Data[[#This Row],[Total (1)]]))),"")</f>
        <v/>
      </c>
      <c r="AI55" s="22" t="str">
        <f>IFERROR(IF(Mass_Data[[#This Row],[Check (1)]]="YES",Mass_Data[[#This Row],[MDL axle group 7 mass]],Mass_Data[[#This Row],[MDL axle group 7 mass]]-(Mass_Data[[#This Row],[Difference between MDL and GCM]]*(Mass_Data[[#This Row],[MDL axle group 7 mass]]/Mass_Data[[#This Row],[Total (1)]]))),"")</f>
        <v/>
      </c>
      <c r="AJ55" s="81">
        <f>SUM(Mass_Data[[#This Row],[Corrected axle group 1 mass]:[Corrected axle group 7 mass]])</f>
        <v>49</v>
      </c>
      <c r="AK55">
        <f>Mass_Data[[#This Row],[Total (2)]]-Mass_Data[[#This Row],[GCM (t)]]</f>
        <v>0</v>
      </c>
      <c r="AL55" s="22" t="str">
        <f>IF(Mass_Data[[#This Row],[Difference between MDL and corrected axle masses]]=0,"YES","NO")</f>
        <v>YES</v>
      </c>
    </row>
    <row r="56" spans="3:38" x14ac:dyDescent="0.35">
      <c r="C56" s="10" t="str">
        <f t="shared" si="0"/>
        <v>PBS - Prime mover and semitrailer with 2 axle groups (1-3) (GML): 1</v>
      </c>
      <c r="D56" s="10" t="s">
        <v>189</v>
      </c>
      <c r="E56" s="10" t="s">
        <v>147</v>
      </c>
      <c r="F56" s="10" t="s">
        <v>18</v>
      </c>
      <c r="G56" s="10" t="s">
        <v>3</v>
      </c>
      <c r="H56" t="s">
        <v>125</v>
      </c>
      <c r="I56" s="9">
        <v>49.7</v>
      </c>
      <c r="J56" s="14">
        <v>28.003163843364323</v>
      </c>
      <c r="K56" s="14">
        <f>Mass_Data[[#This Row],[GCM (t)]]-Mass_Data[[#This Row],[Payload (t)]]</f>
        <v>21.69683615663568</v>
      </c>
      <c r="L56" t="s">
        <v>8</v>
      </c>
      <c r="M56" t="s">
        <v>9</v>
      </c>
      <c r="N56" t="s">
        <v>24</v>
      </c>
      <c r="O56" t="s">
        <v>10</v>
      </c>
      <c r="P56">
        <v>0</v>
      </c>
      <c r="Q56">
        <v>0</v>
      </c>
      <c r="R56">
        <v>0</v>
      </c>
      <c r="S56" cm="1">
        <f t="array" ref="S56">_xlfn.XLOOKUP(Mass_Data[[#This Row],[axle group 1]]&amp;Mass_Data[[#This Row],[Mass Scheme]],Axle_Data[Axle Code]&amp;Axle_Data[Mass Scheme],Axle_Data[MDL Maximum Mass (t)],"",0)</f>
        <v>6.5</v>
      </c>
      <c r="T56" cm="1">
        <f t="array" ref="T56">_xlfn.XLOOKUP(Mass_Data[[#This Row],[axle group 2]]&amp;Mass_Data[[#This Row],[Mass Scheme]],Axle_Data[Axle Code]&amp;Axle_Data[Mass Scheme],Axle_Data[MDL Maximum Mass (t)],"",0)</f>
        <v>16.5</v>
      </c>
      <c r="U56" cm="1">
        <f t="array" ref="U56">_xlfn.XLOOKUP(Mass_Data[[#This Row],[axle group 3]]&amp;Mass_Data[[#This Row],[Mass Scheme]],Axle_Data[Axle Code]&amp;Axle_Data[Mass Scheme],Axle_Data[MDL Maximum Mass (t)],"",0)</f>
        <v>9</v>
      </c>
      <c r="V56" cm="1">
        <f t="array" ref="V56">_xlfn.XLOOKUP(Mass_Data[[#This Row],[axle group 4]]&amp;Mass_Data[[#This Row],[Mass Scheme]],Axle_Data[Axle Code]&amp;Axle_Data[Mass Scheme],Axle_Data[MDL Maximum Mass (t)],"",0)</f>
        <v>20</v>
      </c>
      <c r="W56" t="str" cm="1">
        <f t="array" ref="W56">_xlfn.XLOOKUP(Mass_Data[[#This Row],[axle group 5]]&amp;Mass_Data[[#This Row],[Mass Scheme]],Axle_Data[Axle Code]&amp;Axle_Data[Mass Scheme],Axle_Data[MDL Maximum Mass (t)],"",0)</f>
        <v/>
      </c>
      <c r="X56" t="str" cm="1">
        <f t="array" ref="X56">_xlfn.XLOOKUP(Mass_Data[[#This Row],[axle group 6]]&amp;Mass_Data[[#This Row],[Mass Scheme]],Axle_Data[Axle Code]&amp;Axle_Data[Mass Scheme],Axle_Data[MDL Maximum Mass (t)],"",0)</f>
        <v/>
      </c>
      <c r="Y56" t="str" cm="1">
        <f t="array" ref="Y56">_xlfn.XLOOKUP(Mass_Data[[#This Row],[axle group 7]]&amp;Mass_Data[[#This Row],[Mass Scheme]],Axle_Data[Axle Code]&amp;Axle_Data[Mass Scheme],Axle_Data[MDL Maximum Mass (t)],"",0)</f>
        <v/>
      </c>
      <c r="Z56" s="81">
        <f>SUM(Mass_Data[[#This Row],[MDL axle group 1 mass]:[MDL axle group 7 mass]])</f>
        <v>52</v>
      </c>
      <c r="AA56">
        <f>Mass_Data[[#This Row],[Total (1)]]-Mass_Data[[#This Row],[GCM (t)]]</f>
        <v>2.2999999999999972</v>
      </c>
      <c r="AB56" t="str">
        <f>IF(Mass_Data[[#This Row],[Difference between MDL and GCM]]=0,"YES","NO")</f>
        <v>NO</v>
      </c>
      <c r="AC56" s="22">
        <f>IFERROR(IF(Mass_Data[[#This Row],[Check (1)]]="YES",Mass_Data[[#This Row],[MDL axle group 1 mass]],Mass_Data[[#This Row],[MDL axle group 1 mass]]-(Mass_Data[[#This Row],[Difference between MDL and GCM]]*(Mass_Data[[#This Row],[MDL axle group 1 mass]]/Mass_Data[[#This Row],[Total (1)]]))),"")</f>
        <v>6.2125000000000004</v>
      </c>
      <c r="AD56" s="22">
        <f>IFERROR(IF(Mass_Data[[#This Row],[Check (1)]]="YES",Mass_Data[[#This Row],[MDL axle group 2 mass]],Mass_Data[[#This Row],[MDL axle group 2 mass]]-(Mass_Data[[#This Row],[Difference between MDL and GCM]]*(Mass_Data[[#This Row],[MDL axle group 2 mass]]/Mass_Data[[#This Row],[Total (1)]]))),"")</f>
        <v>15.770192307692309</v>
      </c>
      <c r="AE56" s="22">
        <f>IFERROR(IF(Mass_Data[[#This Row],[Check (1)]]="YES",Mass_Data[[#This Row],[MDL axle group 3 mass]],Mass_Data[[#This Row],[MDL axle group 3 mass]]-(Mass_Data[[#This Row],[Difference between MDL and GCM]]*(Mass_Data[[#This Row],[MDL axle group 3 mass]]/Mass_Data[[#This Row],[Total (1)]]))),"")</f>
        <v>8.601923076923077</v>
      </c>
      <c r="AF56" s="22">
        <f>IFERROR(IF(Mass_Data[[#This Row],[Check (1)]]="YES",Mass_Data[[#This Row],[MDL axle group 4 mass]],Mass_Data[[#This Row],[MDL axle group 4 mass]]-(Mass_Data[[#This Row],[Difference between MDL and GCM]]*(Mass_Data[[#This Row],[MDL axle group 4 mass]]/Mass_Data[[#This Row],[Total (1)]]))),"")</f>
        <v>19.115384615384617</v>
      </c>
      <c r="AG56" s="22" t="str">
        <f>IFERROR(IF(Mass_Data[[#This Row],[Check (1)]]="YES",Mass_Data[[#This Row],[MDL axle group 5 mass]],Mass_Data[[#This Row],[MDL axle group 5 mass]]-(Mass_Data[[#This Row],[Difference between MDL and GCM]]*(Mass_Data[[#This Row],[MDL axle group 5 mass]]/Mass_Data[[#This Row],[Total (1)]]))),"")</f>
        <v/>
      </c>
      <c r="AH56" s="22" t="str">
        <f>IFERROR(IF(Mass_Data[[#This Row],[Check (1)]]="YES",Mass_Data[[#This Row],[MDL axle group 6 mass]],Mass_Data[[#This Row],[MDL axle group 6 mass]]-(Mass_Data[[#This Row],[Difference between MDL and GCM]]*(Mass_Data[[#This Row],[MDL axle group 6 mass]]/Mass_Data[[#This Row],[Total (1)]]))),"")</f>
        <v/>
      </c>
      <c r="AI56" s="22" t="str">
        <f>IFERROR(IF(Mass_Data[[#This Row],[Check (1)]]="YES",Mass_Data[[#This Row],[MDL axle group 7 mass]],Mass_Data[[#This Row],[MDL axle group 7 mass]]-(Mass_Data[[#This Row],[Difference between MDL and GCM]]*(Mass_Data[[#This Row],[MDL axle group 7 mass]]/Mass_Data[[#This Row],[Total (1)]]))),"")</f>
        <v/>
      </c>
      <c r="AJ56" s="81">
        <f>SUM(Mass_Data[[#This Row],[Corrected axle group 1 mass]:[Corrected axle group 7 mass]])</f>
        <v>49.7</v>
      </c>
      <c r="AK56">
        <f>Mass_Data[[#This Row],[Total (2)]]-Mass_Data[[#This Row],[GCM (t)]]</f>
        <v>0</v>
      </c>
      <c r="AL56" s="22" t="str">
        <f>IF(Mass_Data[[#This Row],[Difference between MDL and corrected axle masses]]=0,"YES","NO")</f>
        <v>YES</v>
      </c>
    </row>
    <row r="57" spans="3:38" x14ac:dyDescent="0.35">
      <c r="C57" s="10" t="str">
        <f t="shared" si="0"/>
        <v>PBS - Prime mover and semitrailer with 2 axle groups (1-3) (CML): 1</v>
      </c>
      <c r="D57" s="10" t="s">
        <v>189</v>
      </c>
      <c r="E57" s="10" t="s">
        <v>147</v>
      </c>
      <c r="F57" s="10" t="s">
        <v>20</v>
      </c>
      <c r="G57" s="10" t="s">
        <v>3</v>
      </c>
      <c r="H57" t="s">
        <v>125</v>
      </c>
      <c r="I57" s="9">
        <v>50.7</v>
      </c>
      <c r="J57" s="14">
        <v>29.003163843364323</v>
      </c>
      <c r="K57" s="14">
        <f>Mass_Data[[#This Row],[GCM (t)]]-Mass_Data[[#This Row],[Payload (t)]]</f>
        <v>21.69683615663568</v>
      </c>
      <c r="L57" t="s">
        <v>8</v>
      </c>
      <c r="M57" t="s">
        <v>9</v>
      </c>
      <c r="N57" t="s">
        <v>24</v>
      </c>
      <c r="O57" t="s">
        <v>10</v>
      </c>
      <c r="P57">
        <v>0</v>
      </c>
      <c r="Q57">
        <v>0</v>
      </c>
      <c r="R57">
        <v>0</v>
      </c>
      <c r="S57" cm="1">
        <f t="array" ref="S57">_xlfn.XLOOKUP(Mass_Data[[#This Row],[axle group 1]]&amp;Mass_Data[[#This Row],[Mass Scheme]],Axle_Data[Axle Code]&amp;Axle_Data[Mass Scheme],Axle_Data[MDL Maximum Mass (t)],"",0)</f>
        <v>6.5</v>
      </c>
      <c r="T57" cm="1">
        <f t="array" ref="T57">_xlfn.XLOOKUP(Mass_Data[[#This Row],[axle group 2]]&amp;Mass_Data[[#This Row],[Mass Scheme]],Axle_Data[Axle Code]&amp;Axle_Data[Mass Scheme],Axle_Data[MDL Maximum Mass (t)],"",0)</f>
        <v>17</v>
      </c>
      <c r="U57" cm="1">
        <f t="array" ref="U57">_xlfn.XLOOKUP(Mass_Data[[#This Row],[axle group 3]]&amp;Mass_Data[[#This Row],[Mass Scheme]],Axle_Data[Axle Code]&amp;Axle_Data[Mass Scheme],Axle_Data[MDL Maximum Mass (t)],"",0)</f>
        <v>9</v>
      </c>
      <c r="V57" cm="1">
        <f t="array" ref="V57">_xlfn.XLOOKUP(Mass_Data[[#This Row],[axle group 4]]&amp;Mass_Data[[#This Row],[Mass Scheme]],Axle_Data[Axle Code]&amp;Axle_Data[Mass Scheme],Axle_Data[MDL Maximum Mass (t)],"",0)</f>
        <v>21</v>
      </c>
      <c r="W57" t="str" cm="1">
        <f t="array" ref="W57">_xlfn.XLOOKUP(Mass_Data[[#This Row],[axle group 5]]&amp;Mass_Data[[#This Row],[Mass Scheme]],Axle_Data[Axle Code]&amp;Axle_Data[Mass Scheme],Axle_Data[MDL Maximum Mass (t)],"",0)</f>
        <v/>
      </c>
      <c r="X57" t="str" cm="1">
        <f t="array" ref="X57">_xlfn.XLOOKUP(Mass_Data[[#This Row],[axle group 6]]&amp;Mass_Data[[#This Row],[Mass Scheme]],Axle_Data[Axle Code]&amp;Axle_Data[Mass Scheme],Axle_Data[MDL Maximum Mass (t)],"",0)</f>
        <v/>
      </c>
      <c r="Y57" t="str" cm="1">
        <f t="array" ref="Y57">_xlfn.XLOOKUP(Mass_Data[[#This Row],[axle group 7]]&amp;Mass_Data[[#This Row],[Mass Scheme]],Axle_Data[Axle Code]&amp;Axle_Data[Mass Scheme],Axle_Data[MDL Maximum Mass (t)],"",0)</f>
        <v/>
      </c>
      <c r="Z57" s="81">
        <f>SUM(Mass_Data[[#This Row],[MDL axle group 1 mass]:[MDL axle group 7 mass]])</f>
        <v>53.5</v>
      </c>
      <c r="AA57">
        <f>Mass_Data[[#This Row],[Total (1)]]-Mass_Data[[#This Row],[GCM (t)]]</f>
        <v>2.7999999999999972</v>
      </c>
      <c r="AB57" t="str">
        <f>IF(Mass_Data[[#This Row],[Difference between MDL and GCM]]=0,"YES","NO")</f>
        <v>NO</v>
      </c>
      <c r="AC57" s="22">
        <f>IFERROR(IF(Mass_Data[[#This Row],[Check (1)]]="YES",Mass_Data[[#This Row],[MDL axle group 1 mass]],Mass_Data[[#This Row],[MDL axle group 1 mass]]-(Mass_Data[[#This Row],[Difference between MDL and GCM]]*(Mass_Data[[#This Row],[MDL axle group 1 mass]]/Mass_Data[[#This Row],[Total (1)]]))),"")</f>
        <v>6.1598130841121499</v>
      </c>
      <c r="AD57" s="22">
        <f>IFERROR(IF(Mass_Data[[#This Row],[Check (1)]]="YES",Mass_Data[[#This Row],[MDL axle group 2 mass]],Mass_Data[[#This Row],[MDL axle group 2 mass]]-(Mass_Data[[#This Row],[Difference between MDL and GCM]]*(Mass_Data[[#This Row],[MDL axle group 2 mass]]/Mass_Data[[#This Row],[Total (1)]]))),"")</f>
        <v>16.110280373831777</v>
      </c>
      <c r="AE57" s="22">
        <f>IFERROR(IF(Mass_Data[[#This Row],[Check (1)]]="YES",Mass_Data[[#This Row],[MDL axle group 3 mass]],Mass_Data[[#This Row],[MDL axle group 3 mass]]-(Mass_Data[[#This Row],[Difference between MDL and GCM]]*(Mass_Data[[#This Row],[MDL axle group 3 mass]]/Mass_Data[[#This Row],[Total (1)]]))),"")</f>
        <v>8.5289719626168221</v>
      </c>
      <c r="AF57" s="22">
        <f>IFERROR(IF(Mass_Data[[#This Row],[Check (1)]]="YES",Mass_Data[[#This Row],[MDL axle group 4 mass]],Mass_Data[[#This Row],[MDL axle group 4 mass]]-(Mass_Data[[#This Row],[Difference between MDL and GCM]]*(Mass_Data[[#This Row],[MDL axle group 4 mass]]/Mass_Data[[#This Row],[Total (1)]]))),"")</f>
        <v>19.900934579439255</v>
      </c>
      <c r="AG57" s="22" t="str">
        <f>IFERROR(IF(Mass_Data[[#This Row],[Check (1)]]="YES",Mass_Data[[#This Row],[MDL axle group 5 mass]],Mass_Data[[#This Row],[MDL axle group 5 mass]]-(Mass_Data[[#This Row],[Difference between MDL and GCM]]*(Mass_Data[[#This Row],[MDL axle group 5 mass]]/Mass_Data[[#This Row],[Total (1)]]))),"")</f>
        <v/>
      </c>
      <c r="AH57" s="22" t="str">
        <f>IFERROR(IF(Mass_Data[[#This Row],[Check (1)]]="YES",Mass_Data[[#This Row],[MDL axle group 6 mass]],Mass_Data[[#This Row],[MDL axle group 6 mass]]-(Mass_Data[[#This Row],[Difference between MDL and GCM]]*(Mass_Data[[#This Row],[MDL axle group 6 mass]]/Mass_Data[[#This Row],[Total (1)]]))),"")</f>
        <v/>
      </c>
      <c r="AI57" s="22" t="str">
        <f>IFERROR(IF(Mass_Data[[#This Row],[Check (1)]]="YES",Mass_Data[[#This Row],[MDL axle group 7 mass]],Mass_Data[[#This Row],[MDL axle group 7 mass]]-(Mass_Data[[#This Row],[Difference between MDL and GCM]]*(Mass_Data[[#This Row],[MDL axle group 7 mass]]/Mass_Data[[#This Row],[Total (1)]]))),"")</f>
        <v/>
      </c>
      <c r="AJ57" s="81">
        <f>SUM(Mass_Data[[#This Row],[Corrected axle group 1 mass]:[Corrected axle group 7 mass]])</f>
        <v>50.7</v>
      </c>
      <c r="AK57">
        <f>Mass_Data[[#This Row],[Total (2)]]-Mass_Data[[#This Row],[GCM (t)]]</f>
        <v>0</v>
      </c>
      <c r="AL57" s="22" t="str">
        <f>IF(Mass_Data[[#This Row],[Difference between MDL and corrected axle masses]]=0,"YES","NO")</f>
        <v>YES</v>
      </c>
    </row>
    <row r="58" spans="3:38" x14ac:dyDescent="0.35">
      <c r="C58" s="10" t="str">
        <f t="shared" si="0"/>
        <v>PBS - Prime mover and semitrailer with 2 axle groups (1-3) (HML): 1</v>
      </c>
      <c r="D58" s="10" t="s">
        <v>189</v>
      </c>
      <c r="E58" s="10" t="s">
        <v>147</v>
      </c>
      <c r="F58" s="10" t="s">
        <v>7</v>
      </c>
      <c r="G58" s="10" t="s">
        <v>3</v>
      </c>
      <c r="H58" t="s">
        <v>125</v>
      </c>
      <c r="I58" s="9">
        <v>53.5</v>
      </c>
      <c r="J58" s="14">
        <v>31.80316384336432</v>
      </c>
      <c r="K58" s="14">
        <f>Mass_Data[[#This Row],[GCM (t)]]-Mass_Data[[#This Row],[Payload (t)]]</f>
        <v>21.69683615663568</v>
      </c>
      <c r="L58" t="s">
        <v>8</v>
      </c>
      <c r="M58" t="s">
        <v>9</v>
      </c>
      <c r="N58" t="s">
        <v>24</v>
      </c>
      <c r="O58" t="s">
        <v>10</v>
      </c>
      <c r="P58">
        <v>0</v>
      </c>
      <c r="Q58">
        <v>0</v>
      </c>
      <c r="R58">
        <v>0</v>
      </c>
      <c r="S58" cm="1">
        <f t="array" ref="S58">_xlfn.XLOOKUP(Mass_Data[[#This Row],[axle group 1]]&amp;Mass_Data[[#This Row],[Mass Scheme]],Axle_Data[Axle Code]&amp;Axle_Data[Mass Scheme],Axle_Data[MDL Maximum Mass (t)],"",0)</f>
        <v>6.5</v>
      </c>
      <c r="T58" cm="1">
        <f t="array" ref="T58">_xlfn.XLOOKUP(Mass_Data[[#This Row],[axle group 2]]&amp;Mass_Data[[#This Row],[Mass Scheme]],Axle_Data[Axle Code]&amp;Axle_Data[Mass Scheme],Axle_Data[MDL Maximum Mass (t)],"",0)</f>
        <v>17</v>
      </c>
      <c r="U58" cm="1">
        <f t="array" ref="U58">_xlfn.XLOOKUP(Mass_Data[[#This Row],[axle group 3]]&amp;Mass_Data[[#This Row],[Mass Scheme]],Axle_Data[Axle Code]&amp;Axle_Data[Mass Scheme],Axle_Data[MDL Maximum Mass (t)],"",0)</f>
        <v>9</v>
      </c>
      <c r="V58" cm="1">
        <f t="array" ref="V58">_xlfn.XLOOKUP(Mass_Data[[#This Row],[axle group 4]]&amp;Mass_Data[[#This Row],[Mass Scheme]],Axle_Data[Axle Code]&amp;Axle_Data[Mass Scheme],Axle_Data[MDL Maximum Mass (t)],"",0)</f>
        <v>22.5</v>
      </c>
      <c r="W58" t="str" cm="1">
        <f t="array" ref="W58">_xlfn.XLOOKUP(Mass_Data[[#This Row],[axle group 5]]&amp;Mass_Data[[#This Row],[Mass Scheme]],Axle_Data[Axle Code]&amp;Axle_Data[Mass Scheme],Axle_Data[MDL Maximum Mass (t)],"",0)</f>
        <v/>
      </c>
      <c r="X58" t="str" cm="1">
        <f t="array" ref="X58">_xlfn.XLOOKUP(Mass_Data[[#This Row],[axle group 6]]&amp;Mass_Data[[#This Row],[Mass Scheme]],Axle_Data[Axle Code]&amp;Axle_Data[Mass Scheme],Axle_Data[MDL Maximum Mass (t)],"",0)</f>
        <v/>
      </c>
      <c r="Y58" t="str" cm="1">
        <f t="array" ref="Y58">_xlfn.XLOOKUP(Mass_Data[[#This Row],[axle group 7]]&amp;Mass_Data[[#This Row],[Mass Scheme]],Axle_Data[Axle Code]&amp;Axle_Data[Mass Scheme],Axle_Data[MDL Maximum Mass (t)],"",0)</f>
        <v/>
      </c>
      <c r="Z58" s="81">
        <f>SUM(Mass_Data[[#This Row],[MDL axle group 1 mass]:[MDL axle group 7 mass]])</f>
        <v>55</v>
      </c>
      <c r="AA58">
        <f>Mass_Data[[#This Row],[Total (1)]]-Mass_Data[[#This Row],[GCM (t)]]</f>
        <v>1.5</v>
      </c>
      <c r="AB58" t="str">
        <f>IF(Mass_Data[[#This Row],[Difference between MDL and GCM]]=0,"YES","NO")</f>
        <v>NO</v>
      </c>
      <c r="AC58" s="22">
        <f>IFERROR(IF(Mass_Data[[#This Row],[Check (1)]]="YES",Mass_Data[[#This Row],[MDL axle group 1 mass]],Mass_Data[[#This Row],[MDL axle group 1 mass]]-(Mass_Data[[#This Row],[Difference between MDL and GCM]]*(Mass_Data[[#This Row],[MDL axle group 1 mass]]/Mass_Data[[#This Row],[Total (1)]]))),"")</f>
        <v>6.3227272727272723</v>
      </c>
      <c r="AD58" s="22">
        <f>IFERROR(IF(Mass_Data[[#This Row],[Check (1)]]="YES",Mass_Data[[#This Row],[MDL axle group 2 mass]],Mass_Data[[#This Row],[MDL axle group 2 mass]]-(Mass_Data[[#This Row],[Difference between MDL and GCM]]*(Mass_Data[[#This Row],[MDL axle group 2 mass]]/Mass_Data[[#This Row],[Total (1)]]))),"")</f>
        <v>16.536363636363635</v>
      </c>
      <c r="AE58" s="22">
        <f>IFERROR(IF(Mass_Data[[#This Row],[Check (1)]]="YES",Mass_Data[[#This Row],[MDL axle group 3 mass]],Mass_Data[[#This Row],[MDL axle group 3 mass]]-(Mass_Data[[#This Row],[Difference between MDL and GCM]]*(Mass_Data[[#This Row],[MDL axle group 3 mass]]/Mass_Data[[#This Row],[Total (1)]]))),"")</f>
        <v>8.754545454545454</v>
      </c>
      <c r="AF58" s="22">
        <f>IFERROR(IF(Mass_Data[[#This Row],[Check (1)]]="YES",Mass_Data[[#This Row],[MDL axle group 4 mass]],Mass_Data[[#This Row],[MDL axle group 4 mass]]-(Mass_Data[[#This Row],[Difference between MDL and GCM]]*(Mass_Data[[#This Row],[MDL axle group 4 mass]]/Mass_Data[[#This Row],[Total (1)]]))),"")</f>
        <v>21.886363636363637</v>
      </c>
      <c r="AG58" s="22" t="str">
        <f>IFERROR(IF(Mass_Data[[#This Row],[Check (1)]]="YES",Mass_Data[[#This Row],[MDL axle group 5 mass]],Mass_Data[[#This Row],[MDL axle group 5 mass]]-(Mass_Data[[#This Row],[Difference between MDL and GCM]]*(Mass_Data[[#This Row],[MDL axle group 5 mass]]/Mass_Data[[#This Row],[Total (1)]]))),"")</f>
        <v/>
      </c>
      <c r="AH58" s="22" t="str">
        <f>IFERROR(IF(Mass_Data[[#This Row],[Check (1)]]="YES",Mass_Data[[#This Row],[MDL axle group 6 mass]],Mass_Data[[#This Row],[MDL axle group 6 mass]]-(Mass_Data[[#This Row],[Difference between MDL and GCM]]*(Mass_Data[[#This Row],[MDL axle group 6 mass]]/Mass_Data[[#This Row],[Total (1)]]))),"")</f>
        <v/>
      </c>
      <c r="AI58" s="22" t="str">
        <f>IFERROR(IF(Mass_Data[[#This Row],[Check (1)]]="YES",Mass_Data[[#This Row],[MDL axle group 7 mass]],Mass_Data[[#This Row],[MDL axle group 7 mass]]-(Mass_Data[[#This Row],[Difference between MDL and GCM]]*(Mass_Data[[#This Row],[MDL axle group 7 mass]]/Mass_Data[[#This Row],[Total (1)]]))),"")</f>
        <v/>
      </c>
      <c r="AJ58" s="81">
        <f>SUM(Mass_Data[[#This Row],[Corrected axle group 1 mass]:[Corrected axle group 7 mass]])</f>
        <v>53.5</v>
      </c>
      <c r="AK58">
        <f>Mass_Data[[#This Row],[Total (2)]]-Mass_Data[[#This Row],[GCM (t)]]</f>
        <v>0</v>
      </c>
      <c r="AL58" s="22" t="str">
        <f>IF(Mass_Data[[#This Row],[Difference between MDL and corrected axle masses]]=0,"YES","NO")</f>
        <v>YES</v>
      </c>
    </row>
    <row r="59" spans="3:38" x14ac:dyDescent="0.35">
      <c r="C59" s="10" t="str">
        <f t="shared" si="0"/>
        <v>PBS - 3-axle prime mover B-double (2-2) (GML): 1</v>
      </c>
      <c r="D59" s="10" t="s">
        <v>187</v>
      </c>
      <c r="E59" s="10" t="s">
        <v>147</v>
      </c>
      <c r="F59" s="10" t="s">
        <v>18</v>
      </c>
      <c r="G59" s="10" t="s">
        <v>3</v>
      </c>
      <c r="H59" t="s">
        <v>58</v>
      </c>
      <c r="I59" s="9">
        <v>50.5</v>
      </c>
      <c r="J59" s="14">
        <v>26.759782830224658</v>
      </c>
      <c r="K59" s="14">
        <f>Mass_Data[[#This Row],[GCM (t)]]-Mass_Data[[#This Row],[Payload (t)]]</f>
        <v>23.740217169775342</v>
      </c>
      <c r="L59" t="s">
        <v>8</v>
      </c>
      <c r="M59" t="s">
        <v>9</v>
      </c>
      <c r="N59" t="s">
        <v>30</v>
      </c>
      <c r="O59" t="s">
        <v>30</v>
      </c>
      <c r="P59">
        <v>0</v>
      </c>
      <c r="Q59">
        <v>0</v>
      </c>
      <c r="R59">
        <v>0</v>
      </c>
      <c r="S59" cm="1">
        <f t="array" ref="S59">_xlfn.XLOOKUP(Mass_Data[[#This Row],[axle group 1]]&amp;Mass_Data[[#This Row],[Mass Scheme]],Axle_Data[Axle Code]&amp;Axle_Data[Mass Scheme],Axle_Data[MDL Maximum Mass (t)],"",0)</f>
        <v>6.5</v>
      </c>
      <c r="T59" cm="1">
        <f t="array" ref="T59">_xlfn.XLOOKUP(Mass_Data[[#This Row],[axle group 2]]&amp;Mass_Data[[#This Row],[Mass Scheme]],Axle_Data[Axle Code]&amp;Axle_Data[Mass Scheme],Axle_Data[MDL Maximum Mass (t)],"",0)</f>
        <v>16.5</v>
      </c>
      <c r="U59" cm="1">
        <f t="array" ref="U59">_xlfn.XLOOKUP(Mass_Data[[#This Row],[axle group 3]]&amp;Mass_Data[[#This Row],[Mass Scheme]],Axle_Data[Axle Code]&amp;Axle_Data[Mass Scheme],Axle_Data[MDL Maximum Mass (t)],"",0)</f>
        <v>16.5</v>
      </c>
      <c r="V59" cm="1">
        <f t="array" ref="V59">_xlfn.XLOOKUP(Mass_Data[[#This Row],[axle group 4]]&amp;Mass_Data[[#This Row],[Mass Scheme]],Axle_Data[Axle Code]&amp;Axle_Data[Mass Scheme],Axle_Data[MDL Maximum Mass (t)],"",0)</f>
        <v>16.5</v>
      </c>
      <c r="W59" t="str" cm="1">
        <f t="array" ref="W59">_xlfn.XLOOKUP(Mass_Data[[#This Row],[axle group 5]]&amp;Mass_Data[[#This Row],[Mass Scheme]],Axle_Data[Axle Code]&amp;Axle_Data[Mass Scheme],Axle_Data[MDL Maximum Mass (t)],"",0)</f>
        <v/>
      </c>
      <c r="X59" t="str" cm="1">
        <f t="array" ref="X59">_xlfn.XLOOKUP(Mass_Data[[#This Row],[axle group 6]]&amp;Mass_Data[[#This Row],[Mass Scheme]],Axle_Data[Axle Code]&amp;Axle_Data[Mass Scheme],Axle_Data[MDL Maximum Mass (t)],"",0)</f>
        <v/>
      </c>
      <c r="Y59" t="str" cm="1">
        <f t="array" ref="Y59">_xlfn.XLOOKUP(Mass_Data[[#This Row],[axle group 7]]&amp;Mass_Data[[#This Row],[Mass Scheme]],Axle_Data[Axle Code]&amp;Axle_Data[Mass Scheme],Axle_Data[MDL Maximum Mass (t)],"",0)</f>
        <v/>
      </c>
      <c r="Z59" s="81">
        <f>SUM(Mass_Data[[#This Row],[MDL axle group 1 mass]:[MDL axle group 7 mass]])</f>
        <v>56</v>
      </c>
      <c r="AA59">
        <f>Mass_Data[[#This Row],[Total (1)]]-Mass_Data[[#This Row],[GCM (t)]]</f>
        <v>5.5</v>
      </c>
      <c r="AB59" t="str">
        <f>IF(Mass_Data[[#This Row],[Difference between MDL and GCM]]=0,"YES","NO")</f>
        <v>NO</v>
      </c>
      <c r="AC59" s="22">
        <f>IFERROR(IF(Mass_Data[[#This Row],[Check (1)]]="YES",Mass_Data[[#This Row],[MDL axle group 1 mass]],Mass_Data[[#This Row],[MDL axle group 1 mass]]-(Mass_Data[[#This Row],[Difference between MDL and GCM]]*(Mass_Data[[#This Row],[MDL axle group 1 mass]]/Mass_Data[[#This Row],[Total (1)]]))),"")</f>
        <v>5.8616071428571423</v>
      </c>
      <c r="AD59" s="22">
        <f>IFERROR(IF(Mass_Data[[#This Row],[Check (1)]]="YES",Mass_Data[[#This Row],[MDL axle group 2 mass]],Mass_Data[[#This Row],[MDL axle group 2 mass]]-(Mass_Data[[#This Row],[Difference between MDL and GCM]]*(Mass_Data[[#This Row],[MDL axle group 2 mass]]/Mass_Data[[#This Row],[Total (1)]]))),"")</f>
        <v>14.879464285714285</v>
      </c>
      <c r="AE59" s="22">
        <f>IFERROR(IF(Mass_Data[[#This Row],[Check (1)]]="YES",Mass_Data[[#This Row],[MDL axle group 3 mass]],Mass_Data[[#This Row],[MDL axle group 3 mass]]-(Mass_Data[[#This Row],[Difference between MDL and GCM]]*(Mass_Data[[#This Row],[MDL axle group 3 mass]]/Mass_Data[[#This Row],[Total (1)]]))),"")</f>
        <v>14.879464285714285</v>
      </c>
      <c r="AF59" s="22">
        <f>IFERROR(IF(Mass_Data[[#This Row],[Check (1)]]="YES",Mass_Data[[#This Row],[MDL axle group 4 mass]],Mass_Data[[#This Row],[MDL axle group 4 mass]]-(Mass_Data[[#This Row],[Difference between MDL and GCM]]*(Mass_Data[[#This Row],[MDL axle group 4 mass]]/Mass_Data[[#This Row],[Total (1)]]))),"")</f>
        <v>14.879464285714285</v>
      </c>
      <c r="AG59" s="22" t="str">
        <f>IFERROR(IF(Mass_Data[[#This Row],[Check (1)]]="YES",Mass_Data[[#This Row],[MDL axle group 5 mass]],Mass_Data[[#This Row],[MDL axle group 5 mass]]-(Mass_Data[[#This Row],[Difference between MDL and GCM]]*(Mass_Data[[#This Row],[MDL axle group 5 mass]]/Mass_Data[[#This Row],[Total (1)]]))),"")</f>
        <v/>
      </c>
      <c r="AH59" s="22" t="str">
        <f>IFERROR(IF(Mass_Data[[#This Row],[Check (1)]]="YES",Mass_Data[[#This Row],[MDL axle group 6 mass]],Mass_Data[[#This Row],[MDL axle group 6 mass]]-(Mass_Data[[#This Row],[Difference between MDL and GCM]]*(Mass_Data[[#This Row],[MDL axle group 6 mass]]/Mass_Data[[#This Row],[Total (1)]]))),"")</f>
        <v/>
      </c>
      <c r="AI59" s="22" t="str">
        <f>IFERROR(IF(Mass_Data[[#This Row],[Check (1)]]="YES",Mass_Data[[#This Row],[MDL axle group 7 mass]],Mass_Data[[#This Row],[MDL axle group 7 mass]]-(Mass_Data[[#This Row],[Difference between MDL and GCM]]*(Mass_Data[[#This Row],[MDL axle group 7 mass]]/Mass_Data[[#This Row],[Total (1)]]))),"")</f>
        <v/>
      </c>
      <c r="AJ59" s="81">
        <f>SUM(Mass_Data[[#This Row],[Corrected axle group 1 mass]:[Corrected axle group 7 mass]])</f>
        <v>50.499999999999993</v>
      </c>
      <c r="AK59">
        <f>Mass_Data[[#This Row],[Total (2)]]-Mass_Data[[#This Row],[GCM (t)]]</f>
        <v>0</v>
      </c>
      <c r="AL59" s="22" t="str">
        <f>IF(Mass_Data[[#This Row],[Difference between MDL and corrected axle masses]]=0,"YES","NO")</f>
        <v>YES</v>
      </c>
    </row>
    <row r="60" spans="3:38" x14ac:dyDescent="0.35">
      <c r="C60" s="10" t="str">
        <f t="shared" si="0"/>
        <v>PBS - 3-axle prime mover B-double (2-2) (GML): 2</v>
      </c>
      <c r="D60" s="10" t="s">
        <v>187</v>
      </c>
      <c r="E60" s="10" t="s">
        <v>147</v>
      </c>
      <c r="F60" s="10" t="s">
        <v>18</v>
      </c>
      <c r="G60" s="10" t="s">
        <v>4</v>
      </c>
      <c r="H60" t="s">
        <v>58</v>
      </c>
      <c r="I60" s="9">
        <v>56</v>
      </c>
      <c r="J60" s="14">
        <v>32.259782830224658</v>
      </c>
      <c r="K60" s="14">
        <f>Mass_Data[[#This Row],[GCM (t)]]-Mass_Data[[#This Row],[Payload (t)]]</f>
        <v>23.740217169775342</v>
      </c>
      <c r="L60" t="s">
        <v>8</v>
      </c>
      <c r="M60" t="s">
        <v>9</v>
      </c>
      <c r="N60" t="s">
        <v>30</v>
      </c>
      <c r="O60" t="s">
        <v>30</v>
      </c>
      <c r="P60">
        <v>0</v>
      </c>
      <c r="Q60">
        <v>0</v>
      </c>
      <c r="R60">
        <v>0</v>
      </c>
      <c r="S60" cm="1">
        <f t="array" ref="S60">_xlfn.XLOOKUP(Mass_Data[[#This Row],[axle group 1]]&amp;Mass_Data[[#This Row],[Mass Scheme]],Axle_Data[Axle Code]&amp;Axle_Data[Mass Scheme],Axle_Data[MDL Maximum Mass (t)],"",0)</f>
        <v>6.5</v>
      </c>
      <c r="T60" cm="1">
        <f t="array" ref="T60">_xlfn.XLOOKUP(Mass_Data[[#This Row],[axle group 2]]&amp;Mass_Data[[#This Row],[Mass Scheme]],Axle_Data[Axle Code]&amp;Axle_Data[Mass Scheme],Axle_Data[MDL Maximum Mass (t)],"",0)</f>
        <v>16.5</v>
      </c>
      <c r="U60" cm="1">
        <f t="array" ref="U60">_xlfn.XLOOKUP(Mass_Data[[#This Row],[axle group 3]]&amp;Mass_Data[[#This Row],[Mass Scheme]],Axle_Data[Axle Code]&amp;Axle_Data[Mass Scheme],Axle_Data[MDL Maximum Mass (t)],"",0)</f>
        <v>16.5</v>
      </c>
      <c r="V60" cm="1">
        <f t="array" ref="V60">_xlfn.XLOOKUP(Mass_Data[[#This Row],[axle group 4]]&amp;Mass_Data[[#This Row],[Mass Scheme]],Axle_Data[Axle Code]&amp;Axle_Data[Mass Scheme],Axle_Data[MDL Maximum Mass (t)],"",0)</f>
        <v>16.5</v>
      </c>
      <c r="W60" t="str" cm="1">
        <f t="array" ref="W60">_xlfn.XLOOKUP(Mass_Data[[#This Row],[axle group 5]]&amp;Mass_Data[[#This Row],[Mass Scheme]],Axle_Data[Axle Code]&amp;Axle_Data[Mass Scheme],Axle_Data[MDL Maximum Mass (t)],"",0)</f>
        <v/>
      </c>
      <c r="X60" t="str" cm="1">
        <f t="array" ref="X60">_xlfn.XLOOKUP(Mass_Data[[#This Row],[axle group 6]]&amp;Mass_Data[[#This Row],[Mass Scheme]],Axle_Data[Axle Code]&amp;Axle_Data[Mass Scheme],Axle_Data[MDL Maximum Mass (t)],"",0)</f>
        <v/>
      </c>
      <c r="Y60" t="str" cm="1">
        <f t="array" ref="Y60">_xlfn.XLOOKUP(Mass_Data[[#This Row],[axle group 7]]&amp;Mass_Data[[#This Row],[Mass Scheme]],Axle_Data[Axle Code]&amp;Axle_Data[Mass Scheme],Axle_Data[MDL Maximum Mass (t)],"",0)</f>
        <v/>
      </c>
      <c r="Z60" s="81">
        <f>SUM(Mass_Data[[#This Row],[MDL axle group 1 mass]:[MDL axle group 7 mass]])</f>
        <v>56</v>
      </c>
      <c r="AA60">
        <f>Mass_Data[[#This Row],[Total (1)]]-Mass_Data[[#This Row],[GCM (t)]]</f>
        <v>0</v>
      </c>
      <c r="AB60" t="str">
        <f>IF(Mass_Data[[#This Row],[Difference between MDL and GCM]]=0,"YES","NO")</f>
        <v>YES</v>
      </c>
      <c r="AC60" s="22">
        <f>IFERROR(IF(Mass_Data[[#This Row],[Check (1)]]="YES",Mass_Data[[#This Row],[MDL axle group 1 mass]],Mass_Data[[#This Row],[MDL axle group 1 mass]]-(Mass_Data[[#This Row],[Difference between MDL and GCM]]*(Mass_Data[[#This Row],[MDL axle group 1 mass]]/Mass_Data[[#This Row],[Total (1)]]))),"")</f>
        <v>6.5</v>
      </c>
      <c r="AD60" s="22">
        <f>IFERROR(IF(Mass_Data[[#This Row],[Check (1)]]="YES",Mass_Data[[#This Row],[MDL axle group 2 mass]],Mass_Data[[#This Row],[MDL axle group 2 mass]]-(Mass_Data[[#This Row],[Difference between MDL and GCM]]*(Mass_Data[[#This Row],[MDL axle group 2 mass]]/Mass_Data[[#This Row],[Total (1)]]))),"")</f>
        <v>16.5</v>
      </c>
      <c r="AE60" s="22">
        <f>IFERROR(IF(Mass_Data[[#This Row],[Check (1)]]="YES",Mass_Data[[#This Row],[MDL axle group 3 mass]],Mass_Data[[#This Row],[MDL axle group 3 mass]]-(Mass_Data[[#This Row],[Difference between MDL and GCM]]*(Mass_Data[[#This Row],[MDL axle group 3 mass]]/Mass_Data[[#This Row],[Total (1)]]))),"")</f>
        <v>16.5</v>
      </c>
      <c r="AF60" s="22">
        <f>IFERROR(IF(Mass_Data[[#This Row],[Check (1)]]="YES",Mass_Data[[#This Row],[MDL axle group 4 mass]],Mass_Data[[#This Row],[MDL axle group 4 mass]]-(Mass_Data[[#This Row],[Difference between MDL and GCM]]*(Mass_Data[[#This Row],[MDL axle group 4 mass]]/Mass_Data[[#This Row],[Total (1)]]))),"")</f>
        <v>16.5</v>
      </c>
      <c r="AG60" s="22" t="str">
        <f>IFERROR(IF(Mass_Data[[#This Row],[Check (1)]]="YES",Mass_Data[[#This Row],[MDL axle group 5 mass]],Mass_Data[[#This Row],[MDL axle group 5 mass]]-(Mass_Data[[#This Row],[Difference between MDL and GCM]]*(Mass_Data[[#This Row],[MDL axle group 5 mass]]/Mass_Data[[#This Row],[Total (1)]]))),"")</f>
        <v/>
      </c>
      <c r="AH60" s="22" t="str">
        <f>IFERROR(IF(Mass_Data[[#This Row],[Check (1)]]="YES",Mass_Data[[#This Row],[MDL axle group 6 mass]],Mass_Data[[#This Row],[MDL axle group 6 mass]]-(Mass_Data[[#This Row],[Difference between MDL and GCM]]*(Mass_Data[[#This Row],[MDL axle group 6 mass]]/Mass_Data[[#This Row],[Total (1)]]))),"")</f>
        <v/>
      </c>
      <c r="AI60" s="22" t="str">
        <f>IFERROR(IF(Mass_Data[[#This Row],[Check (1)]]="YES",Mass_Data[[#This Row],[MDL axle group 7 mass]],Mass_Data[[#This Row],[MDL axle group 7 mass]]-(Mass_Data[[#This Row],[Difference between MDL and GCM]]*(Mass_Data[[#This Row],[MDL axle group 7 mass]]/Mass_Data[[#This Row],[Total (1)]]))),"")</f>
        <v/>
      </c>
      <c r="AJ60" s="81">
        <f>SUM(Mass_Data[[#This Row],[Corrected axle group 1 mass]:[Corrected axle group 7 mass]])</f>
        <v>56</v>
      </c>
      <c r="AK60">
        <f>Mass_Data[[#This Row],[Total (2)]]-Mass_Data[[#This Row],[GCM (t)]]</f>
        <v>0</v>
      </c>
      <c r="AL60" s="22" t="str">
        <f>IF(Mass_Data[[#This Row],[Difference between MDL and corrected axle masses]]=0,"YES","NO")</f>
        <v>YES</v>
      </c>
    </row>
    <row r="61" spans="3:38" x14ac:dyDescent="0.35">
      <c r="C61" s="10" t="str">
        <f t="shared" si="0"/>
        <v>PBS - 3-axle prime mover B-double (2-2) (CML): 2</v>
      </c>
      <c r="D61" s="10" t="s">
        <v>187</v>
      </c>
      <c r="E61" s="10" t="s">
        <v>147</v>
      </c>
      <c r="F61" s="10" t="s">
        <v>20</v>
      </c>
      <c r="G61" s="10" t="s">
        <v>4</v>
      </c>
      <c r="H61" t="s">
        <v>58</v>
      </c>
      <c r="I61" s="9">
        <v>57.5</v>
      </c>
      <c r="J61" s="14">
        <v>33.759782830224658</v>
      </c>
      <c r="K61" s="14">
        <f>Mass_Data[[#This Row],[GCM (t)]]-Mass_Data[[#This Row],[Payload (t)]]</f>
        <v>23.740217169775342</v>
      </c>
      <c r="L61" t="s">
        <v>8</v>
      </c>
      <c r="M61" t="s">
        <v>9</v>
      </c>
      <c r="N61" t="s">
        <v>30</v>
      </c>
      <c r="O61" t="s">
        <v>30</v>
      </c>
      <c r="P61">
        <v>0</v>
      </c>
      <c r="Q61">
        <v>0</v>
      </c>
      <c r="R61">
        <v>0</v>
      </c>
      <c r="S61" cm="1">
        <f t="array" ref="S61">_xlfn.XLOOKUP(Mass_Data[[#This Row],[axle group 1]]&amp;Mass_Data[[#This Row],[Mass Scheme]],Axle_Data[Axle Code]&amp;Axle_Data[Mass Scheme],Axle_Data[MDL Maximum Mass (t)],"",0)</f>
        <v>6.5</v>
      </c>
      <c r="T61" cm="1">
        <f t="array" ref="T61">_xlfn.XLOOKUP(Mass_Data[[#This Row],[axle group 2]]&amp;Mass_Data[[#This Row],[Mass Scheme]],Axle_Data[Axle Code]&amp;Axle_Data[Mass Scheme],Axle_Data[MDL Maximum Mass (t)],"",0)</f>
        <v>17</v>
      </c>
      <c r="U61" cm="1">
        <f t="array" ref="U61">_xlfn.XLOOKUP(Mass_Data[[#This Row],[axle group 3]]&amp;Mass_Data[[#This Row],[Mass Scheme]],Axle_Data[Axle Code]&amp;Axle_Data[Mass Scheme],Axle_Data[MDL Maximum Mass (t)],"",0)</f>
        <v>17</v>
      </c>
      <c r="V61" cm="1">
        <f t="array" ref="V61">_xlfn.XLOOKUP(Mass_Data[[#This Row],[axle group 4]]&amp;Mass_Data[[#This Row],[Mass Scheme]],Axle_Data[Axle Code]&amp;Axle_Data[Mass Scheme],Axle_Data[MDL Maximum Mass (t)],"",0)</f>
        <v>17</v>
      </c>
      <c r="W61" t="str" cm="1">
        <f t="array" ref="W61">_xlfn.XLOOKUP(Mass_Data[[#This Row],[axle group 5]]&amp;Mass_Data[[#This Row],[Mass Scheme]],Axle_Data[Axle Code]&amp;Axle_Data[Mass Scheme],Axle_Data[MDL Maximum Mass (t)],"",0)</f>
        <v/>
      </c>
      <c r="X61" t="str" cm="1">
        <f t="array" ref="X61">_xlfn.XLOOKUP(Mass_Data[[#This Row],[axle group 6]]&amp;Mass_Data[[#This Row],[Mass Scheme]],Axle_Data[Axle Code]&amp;Axle_Data[Mass Scheme],Axle_Data[MDL Maximum Mass (t)],"",0)</f>
        <v/>
      </c>
      <c r="Y61" t="str" cm="1">
        <f t="array" ref="Y61">_xlfn.XLOOKUP(Mass_Data[[#This Row],[axle group 7]]&amp;Mass_Data[[#This Row],[Mass Scheme]],Axle_Data[Axle Code]&amp;Axle_Data[Mass Scheme],Axle_Data[MDL Maximum Mass (t)],"",0)</f>
        <v/>
      </c>
      <c r="Z61" s="81">
        <f>SUM(Mass_Data[[#This Row],[MDL axle group 1 mass]:[MDL axle group 7 mass]])</f>
        <v>57.5</v>
      </c>
      <c r="AA61">
        <f>Mass_Data[[#This Row],[Total (1)]]-Mass_Data[[#This Row],[GCM (t)]]</f>
        <v>0</v>
      </c>
      <c r="AB61" t="str">
        <f>IF(Mass_Data[[#This Row],[Difference between MDL and GCM]]=0,"YES","NO")</f>
        <v>YES</v>
      </c>
      <c r="AC61" s="22">
        <f>IFERROR(IF(Mass_Data[[#This Row],[Check (1)]]="YES",Mass_Data[[#This Row],[MDL axle group 1 mass]],Mass_Data[[#This Row],[MDL axle group 1 mass]]-(Mass_Data[[#This Row],[Difference between MDL and GCM]]*(Mass_Data[[#This Row],[MDL axle group 1 mass]]/Mass_Data[[#This Row],[Total (1)]]))),"")</f>
        <v>6.5</v>
      </c>
      <c r="AD61" s="22">
        <f>IFERROR(IF(Mass_Data[[#This Row],[Check (1)]]="YES",Mass_Data[[#This Row],[MDL axle group 2 mass]],Mass_Data[[#This Row],[MDL axle group 2 mass]]-(Mass_Data[[#This Row],[Difference between MDL and GCM]]*(Mass_Data[[#This Row],[MDL axle group 2 mass]]/Mass_Data[[#This Row],[Total (1)]]))),"")</f>
        <v>17</v>
      </c>
      <c r="AE61" s="22">
        <f>IFERROR(IF(Mass_Data[[#This Row],[Check (1)]]="YES",Mass_Data[[#This Row],[MDL axle group 3 mass]],Mass_Data[[#This Row],[MDL axle group 3 mass]]-(Mass_Data[[#This Row],[Difference between MDL and GCM]]*(Mass_Data[[#This Row],[MDL axle group 3 mass]]/Mass_Data[[#This Row],[Total (1)]]))),"")</f>
        <v>17</v>
      </c>
      <c r="AF61" s="22">
        <f>IFERROR(IF(Mass_Data[[#This Row],[Check (1)]]="YES",Mass_Data[[#This Row],[MDL axle group 4 mass]],Mass_Data[[#This Row],[MDL axle group 4 mass]]-(Mass_Data[[#This Row],[Difference between MDL and GCM]]*(Mass_Data[[#This Row],[MDL axle group 4 mass]]/Mass_Data[[#This Row],[Total (1)]]))),"")</f>
        <v>17</v>
      </c>
      <c r="AG61" s="22" t="str">
        <f>IFERROR(IF(Mass_Data[[#This Row],[Check (1)]]="YES",Mass_Data[[#This Row],[MDL axle group 5 mass]],Mass_Data[[#This Row],[MDL axle group 5 mass]]-(Mass_Data[[#This Row],[Difference between MDL and GCM]]*(Mass_Data[[#This Row],[MDL axle group 5 mass]]/Mass_Data[[#This Row],[Total (1)]]))),"")</f>
        <v/>
      </c>
      <c r="AH61" s="22" t="str">
        <f>IFERROR(IF(Mass_Data[[#This Row],[Check (1)]]="YES",Mass_Data[[#This Row],[MDL axle group 6 mass]],Mass_Data[[#This Row],[MDL axle group 6 mass]]-(Mass_Data[[#This Row],[Difference between MDL and GCM]]*(Mass_Data[[#This Row],[MDL axle group 6 mass]]/Mass_Data[[#This Row],[Total (1)]]))),"")</f>
        <v/>
      </c>
      <c r="AI61" s="22" t="str">
        <f>IFERROR(IF(Mass_Data[[#This Row],[Check (1)]]="YES",Mass_Data[[#This Row],[MDL axle group 7 mass]],Mass_Data[[#This Row],[MDL axle group 7 mass]]-(Mass_Data[[#This Row],[Difference between MDL and GCM]]*(Mass_Data[[#This Row],[MDL axle group 7 mass]]/Mass_Data[[#This Row],[Total (1)]]))),"")</f>
        <v/>
      </c>
      <c r="AJ61" s="81">
        <f>SUM(Mass_Data[[#This Row],[Corrected axle group 1 mass]:[Corrected axle group 7 mass]])</f>
        <v>57.5</v>
      </c>
      <c r="AK61">
        <f>Mass_Data[[#This Row],[Total (2)]]-Mass_Data[[#This Row],[GCM (t)]]</f>
        <v>0</v>
      </c>
      <c r="AL61" s="22" t="str">
        <f>IF(Mass_Data[[#This Row],[Difference between MDL and corrected axle masses]]=0,"YES","NO")</f>
        <v>YES</v>
      </c>
    </row>
    <row r="62" spans="3:38" x14ac:dyDescent="0.35">
      <c r="C62" s="10" t="str">
        <f t="shared" si="0"/>
        <v>PBS - 3-axle prime mover B-double (2-2) (HML): 2</v>
      </c>
      <c r="D62" s="10" t="s">
        <v>187</v>
      </c>
      <c r="E62" s="10" t="s">
        <v>147</v>
      </c>
      <c r="F62" s="10" t="s">
        <v>7</v>
      </c>
      <c r="G62" s="10" t="s">
        <v>4</v>
      </c>
      <c r="H62" t="s">
        <v>58</v>
      </c>
      <c r="I62" s="9">
        <v>57.5</v>
      </c>
      <c r="J62" s="14">
        <v>33.759782830224658</v>
      </c>
      <c r="K62" s="14">
        <f>Mass_Data[[#This Row],[GCM (t)]]-Mass_Data[[#This Row],[Payload (t)]]</f>
        <v>23.740217169775342</v>
      </c>
      <c r="L62" t="s">
        <v>8</v>
      </c>
      <c r="M62" t="s">
        <v>9</v>
      </c>
      <c r="N62" t="s">
        <v>30</v>
      </c>
      <c r="O62" t="s">
        <v>30</v>
      </c>
      <c r="P62">
        <v>0</v>
      </c>
      <c r="Q62">
        <v>0</v>
      </c>
      <c r="R62">
        <v>0</v>
      </c>
      <c r="S62" cm="1">
        <f t="array" ref="S62">_xlfn.XLOOKUP(Mass_Data[[#This Row],[axle group 1]]&amp;Mass_Data[[#This Row],[Mass Scheme]],Axle_Data[Axle Code]&amp;Axle_Data[Mass Scheme],Axle_Data[MDL Maximum Mass (t)],"",0)</f>
        <v>6.5</v>
      </c>
      <c r="T62" cm="1">
        <f t="array" ref="T62">_xlfn.XLOOKUP(Mass_Data[[#This Row],[axle group 2]]&amp;Mass_Data[[#This Row],[Mass Scheme]],Axle_Data[Axle Code]&amp;Axle_Data[Mass Scheme],Axle_Data[MDL Maximum Mass (t)],"",0)</f>
        <v>17</v>
      </c>
      <c r="U62" cm="1">
        <f t="array" ref="U62">_xlfn.XLOOKUP(Mass_Data[[#This Row],[axle group 3]]&amp;Mass_Data[[#This Row],[Mass Scheme]],Axle_Data[Axle Code]&amp;Axle_Data[Mass Scheme],Axle_Data[MDL Maximum Mass (t)],"",0)</f>
        <v>17</v>
      </c>
      <c r="V62" cm="1">
        <f t="array" ref="V62">_xlfn.XLOOKUP(Mass_Data[[#This Row],[axle group 4]]&amp;Mass_Data[[#This Row],[Mass Scheme]],Axle_Data[Axle Code]&amp;Axle_Data[Mass Scheme],Axle_Data[MDL Maximum Mass (t)],"",0)</f>
        <v>17</v>
      </c>
      <c r="W62" t="str" cm="1">
        <f t="array" ref="W62">_xlfn.XLOOKUP(Mass_Data[[#This Row],[axle group 5]]&amp;Mass_Data[[#This Row],[Mass Scheme]],Axle_Data[Axle Code]&amp;Axle_Data[Mass Scheme],Axle_Data[MDL Maximum Mass (t)],"",0)</f>
        <v/>
      </c>
      <c r="X62" t="str" cm="1">
        <f t="array" ref="X62">_xlfn.XLOOKUP(Mass_Data[[#This Row],[axle group 6]]&amp;Mass_Data[[#This Row],[Mass Scheme]],Axle_Data[Axle Code]&amp;Axle_Data[Mass Scheme],Axle_Data[MDL Maximum Mass (t)],"",0)</f>
        <v/>
      </c>
      <c r="Y62" t="str" cm="1">
        <f t="array" ref="Y62">_xlfn.XLOOKUP(Mass_Data[[#This Row],[axle group 7]]&amp;Mass_Data[[#This Row],[Mass Scheme]],Axle_Data[Axle Code]&amp;Axle_Data[Mass Scheme],Axle_Data[MDL Maximum Mass (t)],"",0)</f>
        <v/>
      </c>
      <c r="Z62" s="81">
        <f>SUM(Mass_Data[[#This Row],[MDL axle group 1 mass]:[MDL axle group 7 mass]])</f>
        <v>57.5</v>
      </c>
      <c r="AA62">
        <f>Mass_Data[[#This Row],[Total (1)]]-Mass_Data[[#This Row],[GCM (t)]]</f>
        <v>0</v>
      </c>
      <c r="AB62" t="str">
        <f>IF(Mass_Data[[#This Row],[Difference between MDL and GCM]]=0,"YES","NO")</f>
        <v>YES</v>
      </c>
      <c r="AC62" s="22">
        <f>IFERROR(IF(Mass_Data[[#This Row],[Check (1)]]="YES",Mass_Data[[#This Row],[MDL axle group 1 mass]],Mass_Data[[#This Row],[MDL axle group 1 mass]]-(Mass_Data[[#This Row],[Difference between MDL and GCM]]*(Mass_Data[[#This Row],[MDL axle group 1 mass]]/Mass_Data[[#This Row],[Total (1)]]))),"")</f>
        <v>6.5</v>
      </c>
      <c r="AD62" s="22">
        <f>IFERROR(IF(Mass_Data[[#This Row],[Check (1)]]="YES",Mass_Data[[#This Row],[MDL axle group 2 mass]],Mass_Data[[#This Row],[MDL axle group 2 mass]]-(Mass_Data[[#This Row],[Difference between MDL and GCM]]*(Mass_Data[[#This Row],[MDL axle group 2 mass]]/Mass_Data[[#This Row],[Total (1)]]))),"")</f>
        <v>17</v>
      </c>
      <c r="AE62" s="22">
        <f>IFERROR(IF(Mass_Data[[#This Row],[Check (1)]]="YES",Mass_Data[[#This Row],[MDL axle group 3 mass]],Mass_Data[[#This Row],[MDL axle group 3 mass]]-(Mass_Data[[#This Row],[Difference between MDL and GCM]]*(Mass_Data[[#This Row],[MDL axle group 3 mass]]/Mass_Data[[#This Row],[Total (1)]]))),"")</f>
        <v>17</v>
      </c>
      <c r="AF62" s="22">
        <f>IFERROR(IF(Mass_Data[[#This Row],[Check (1)]]="YES",Mass_Data[[#This Row],[MDL axle group 4 mass]],Mass_Data[[#This Row],[MDL axle group 4 mass]]-(Mass_Data[[#This Row],[Difference between MDL and GCM]]*(Mass_Data[[#This Row],[MDL axle group 4 mass]]/Mass_Data[[#This Row],[Total (1)]]))),"")</f>
        <v>17</v>
      </c>
      <c r="AG62" s="22" t="str">
        <f>IFERROR(IF(Mass_Data[[#This Row],[Check (1)]]="YES",Mass_Data[[#This Row],[MDL axle group 5 mass]],Mass_Data[[#This Row],[MDL axle group 5 mass]]-(Mass_Data[[#This Row],[Difference between MDL and GCM]]*(Mass_Data[[#This Row],[MDL axle group 5 mass]]/Mass_Data[[#This Row],[Total (1)]]))),"")</f>
        <v/>
      </c>
      <c r="AH62" s="22" t="str">
        <f>IFERROR(IF(Mass_Data[[#This Row],[Check (1)]]="YES",Mass_Data[[#This Row],[MDL axle group 6 mass]],Mass_Data[[#This Row],[MDL axle group 6 mass]]-(Mass_Data[[#This Row],[Difference between MDL and GCM]]*(Mass_Data[[#This Row],[MDL axle group 6 mass]]/Mass_Data[[#This Row],[Total (1)]]))),"")</f>
        <v/>
      </c>
      <c r="AI62" s="22" t="str">
        <f>IFERROR(IF(Mass_Data[[#This Row],[Check (1)]]="YES",Mass_Data[[#This Row],[MDL axle group 7 mass]],Mass_Data[[#This Row],[MDL axle group 7 mass]]-(Mass_Data[[#This Row],[Difference between MDL and GCM]]*(Mass_Data[[#This Row],[MDL axle group 7 mass]]/Mass_Data[[#This Row],[Total (1)]]))),"")</f>
        <v/>
      </c>
      <c r="AJ62" s="81">
        <f>SUM(Mass_Data[[#This Row],[Corrected axle group 1 mass]:[Corrected axle group 7 mass]])</f>
        <v>57.5</v>
      </c>
      <c r="AK62">
        <f>Mass_Data[[#This Row],[Total (2)]]-Mass_Data[[#This Row],[GCM (t)]]</f>
        <v>0</v>
      </c>
      <c r="AL62" s="22" t="str">
        <f>IF(Mass_Data[[#This Row],[Difference between MDL and corrected axle masses]]=0,"YES","NO")</f>
        <v>YES</v>
      </c>
    </row>
    <row r="63" spans="3:38" x14ac:dyDescent="0.35">
      <c r="C63" s="10" t="str">
        <f t="shared" si="0"/>
        <v>PBS - 3-axle prime mover B-double (2-2) (GML): 3</v>
      </c>
      <c r="D63" s="10" t="s">
        <v>187</v>
      </c>
      <c r="E63" s="10" t="s">
        <v>147</v>
      </c>
      <c r="F63" s="10" t="s">
        <v>18</v>
      </c>
      <c r="G63" s="10" t="s">
        <v>5</v>
      </c>
      <c r="H63" t="s">
        <v>58</v>
      </c>
      <c r="I63" s="9">
        <v>56</v>
      </c>
      <c r="J63" s="14">
        <v>32.259782830224658</v>
      </c>
      <c r="K63" s="14">
        <f>Mass_Data[[#This Row],[GCM (t)]]-Mass_Data[[#This Row],[Payload (t)]]</f>
        <v>23.740217169775342</v>
      </c>
      <c r="L63" t="s">
        <v>8</v>
      </c>
      <c r="M63" t="s">
        <v>9</v>
      </c>
      <c r="N63" t="s">
        <v>30</v>
      </c>
      <c r="O63" t="s">
        <v>30</v>
      </c>
      <c r="P63">
        <v>0</v>
      </c>
      <c r="Q63">
        <v>0</v>
      </c>
      <c r="R63">
        <v>0</v>
      </c>
      <c r="S63" cm="1">
        <f t="array" ref="S63">_xlfn.XLOOKUP(Mass_Data[[#This Row],[axle group 1]]&amp;Mass_Data[[#This Row],[Mass Scheme]],Axle_Data[Axle Code]&amp;Axle_Data[Mass Scheme],Axle_Data[MDL Maximum Mass (t)],"",0)</f>
        <v>6.5</v>
      </c>
      <c r="T63" cm="1">
        <f t="array" ref="T63">_xlfn.XLOOKUP(Mass_Data[[#This Row],[axle group 2]]&amp;Mass_Data[[#This Row],[Mass Scheme]],Axle_Data[Axle Code]&amp;Axle_Data[Mass Scheme],Axle_Data[MDL Maximum Mass (t)],"",0)</f>
        <v>16.5</v>
      </c>
      <c r="U63" cm="1">
        <f t="array" ref="U63">_xlfn.XLOOKUP(Mass_Data[[#This Row],[axle group 3]]&amp;Mass_Data[[#This Row],[Mass Scheme]],Axle_Data[Axle Code]&amp;Axle_Data[Mass Scheme],Axle_Data[MDL Maximum Mass (t)],"",0)</f>
        <v>16.5</v>
      </c>
      <c r="V63" cm="1">
        <f t="array" ref="V63">_xlfn.XLOOKUP(Mass_Data[[#This Row],[axle group 4]]&amp;Mass_Data[[#This Row],[Mass Scheme]],Axle_Data[Axle Code]&amp;Axle_Data[Mass Scheme],Axle_Data[MDL Maximum Mass (t)],"",0)</f>
        <v>16.5</v>
      </c>
      <c r="W63" t="str" cm="1">
        <f t="array" ref="W63">_xlfn.XLOOKUP(Mass_Data[[#This Row],[axle group 5]]&amp;Mass_Data[[#This Row],[Mass Scheme]],Axle_Data[Axle Code]&amp;Axle_Data[Mass Scheme],Axle_Data[MDL Maximum Mass (t)],"",0)</f>
        <v/>
      </c>
      <c r="X63" t="str" cm="1">
        <f t="array" ref="X63">_xlfn.XLOOKUP(Mass_Data[[#This Row],[axle group 6]]&amp;Mass_Data[[#This Row],[Mass Scheme]],Axle_Data[Axle Code]&amp;Axle_Data[Mass Scheme],Axle_Data[MDL Maximum Mass (t)],"",0)</f>
        <v/>
      </c>
      <c r="Y63" t="str" cm="1">
        <f t="array" ref="Y63">_xlfn.XLOOKUP(Mass_Data[[#This Row],[axle group 7]]&amp;Mass_Data[[#This Row],[Mass Scheme]],Axle_Data[Axle Code]&amp;Axle_Data[Mass Scheme],Axle_Data[MDL Maximum Mass (t)],"",0)</f>
        <v/>
      </c>
      <c r="Z63" s="81">
        <f>SUM(Mass_Data[[#This Row],[MDL axle group 1 mass]:[MDL axle group 7 mass]])</f>
        <v>56</v>
      </c>
      <c r="AA63">
        <f>Mass_Data[[#This Row],[Total (1)]]-Mass_Data[[#This Row],[GCM (t)]]</f>
        <v>0</v>
      </c>
      <c r="AB63" t="str">
        <f>IF(Mass_Data[[#This Row],[Difference between MDL and GCM]]=0,"YES","NO")</f>
        <v>YES</v>
      </c>
      <c r="AC63" s="22">
        <f>IFERROR(IF(Mass_Data[[#This Row],[Check (1)]]="YES",Mass_Data[[#This Row],[MDL axle group 1 mass]],Mass_Data[[#This Row],[MDL axle group 1 mass]]-(Mass_Data[[#This Row],[Difference between MDL and GCM]]*(Mass_Data[[#This Row],[MDL axle group 1 mass]]/Mass_Data[[#This Row],[Total (1)]]))),"")</f>
        <v>6.5</v>
      </c>
      <c r="AD63" s="22">
        <f>IFERROR(IF(Mass_Data[[#This Row],[Check (1)]]="YES",Mass_Data[[#This Row],[MDL axle group 2 mass]],Mass_Data[[#This Row],[MDL axle group 2 mass]]-(Mass_Data[[#This Row],[Difference between MDL and GCM]]*(Mass_Data[[#This Row],[MDL axle group 2 mass]]/Mass_Data[[#This Row],[Total (1)]]))),"")</f>
        <v>16.5</v>
      </c>
      <c r="AE63" s="22">
        <f>IFERROR(IF(Mass_Data[[#This Row],[Check (1)]]="YES",Mass_Data[[#This Row],[MDL axle group 3 mass]],Mass_Data[[#This Row],[MDL axle group 3 mass]]-(Mass_Data[[#This Row],[Difference between MDL and GCM]]*(Mass_Data[[#This Row],[MDL axle group 3 mass]]/Mass_Data[[#This Row],[Total (1)]]))),"")</f>
        <v>16.5</v>
      </c>
      <c r="AF63" s="22">
        <f>IFERROR(IF(Mass_Data[[#This Row],[Check (1)]]="YES",Mass_Data[[#This Row],[MDL axle group 4 mass]],Mass_Data[[#This Row],[MDL axle group 4 mass]]-(Mass_Data[[#This Row],[Difference between MDL and GCM]]*(Mass_Data[[#This Row],[MDL axle group 4 mass]]/Mass_Data[[#This Row],[Total (1)]]))),"")</f>
        <v>16.5</v>
      </c>
      <c r="AG63" s="22" t="str">
        <f>IFERROR(IF(Mass_Data[[#This Row],[Check (1)]]="YES",Mass_Data[[#This Row],[MDL axle group 5 mass]],Mass_Data[[#This Row],[MDL axle group 5 mass]]-(Mass_Data[[#This Row],[Difference between MDL and GCM]]*(Mass_Data[[#This Row],[MDL axle group 5 mass]]/Mass_Data[[#This Row],[Total (1)]]))),"")</f>
        <v/>
      </c>
      <c r="AH63" s="22" t="str">
        <f>IFERROR(IF(Mass_Data[[#This Row],[Check (1)]]="YES",Mass_Data[[#This Row],[MDL axle group 6 mass]],Mass_Data[[#This Row],[MDL axle group 6 mass]]-(Mass_Data[[#This Row],[Difference between MDL and GCM]]*(Mass_Data[[#This Row],[MDL axle group 6 mass]]/Mass_Data[[#This Row],[Total (1)]]))),"")</f>
        <v/>
      </c>
      <c r="AI63" s="22" t="str">
        <f>IFERROR(IF(Mass_Data[[#This Row],[Check (1)]]="YES",Mass_Data[[#This Row],[MDL axle group 7 mass]],Mass_Data[[#This Row],[MDL axle group 7 mass]]-(Mass_Data[[#This Row],[Difference between MDL and GCM]]*(Mass_Data[[#This Row],[MDL axle group 7 mass]]/Mass_Data[[#This Row],[Total (1)]]))),"")</f>
        <v/>
      </c>
      <c r="AJ63" s="81">
        <f>SUM(Mass_Data[[#This Row],[Corrected axle group 1 mass]:[Corrected axle group 7 mass]])</f>
        <v>56</v>
      </c>
      <c r="AK63">
        <f>Mass_Data[[#This Row],[Total (2)]]-Mass_Data[[#This Row],[GCM (t)]]</f>
        <v>0</v>
      </c>
      <c r="AL63" s="22" t="str">
        <f>IF(Mass_Data[[#This Row],[Difference between MDL and corrected axle masses]]=0,"YES","NO")</f>
        <v>YES</v>
      </c>
    </row>
    <row r="64" spans="3:38" x14ac:dyDescent="0.35">
      <c r="C64" s="10" t="str">
        <f t="shared" si="0"/>
        <v>PBS - 3-axle prime mover B-double (2-2) (CML): 3</v>
      </c>
      <c r="D64" s="10" t="s">
        <v>187</v>
      </c>
      <c r="E64" s="10" t="s">
        <v>147</v>
      </c>
      <c r="F64" s="10" t="s">
        <v>20</v>
      </c>
      <c r="G64" s="10" t="s">
        <v>5</v>
      </c>
      <c r="H64" t="s">
        <v>58</v>
      </c>
      <c r="I64" s="9">
        <v>57.5</v>
      </c>
      <c r="J64" s="14">
        <v>33.759782830224658</v>
      </c>
      <c r="K64" s="14">
        <f>Mass_Data[[#This Row],[GCM (t)]]-Mass_Data[[#This Row],[Payload (t)]]</f>
        <v>23.740217169775342</v>
      </c>
      <c r="L64" t="s">
        <v>8</v>
      </c>
      <c r="M64" t="s">
        <v>9</v>
      </c>
      <c r="N64" t="s">
        <v>30</v>
      </c>
      <c r="O64" t="s">
        <v>30</v>
      </c>
      <c r="P64">
        <v>0</v>
      </c>
      <c r="Q64">
        <v>0</v>
      </c>
      <c r="R64">
        <v>0</v>
      </c>
      <c r="S64" cm="1">
        <f t="array" ref="S64">_xlfn.XLOOKUP(Mass_Data[[#This Row],[axle group 1]]&amp;Mass_Data[[#This Row],[Mass Scheme]],Axle_Data[Axle Code]&amp;Axle_Data[Mass Scheme],Axle_Data[MDL Maximum Mass (t)],"",0)</f>
        <v>6.5</v>
      </c>
      <c r="T64" cm="1">
        <f t="array" ref="T64">_xlfn.XLOOKUP(Mass_Data[[#This Row],[axle group 2]]&amp;Mass_Data[[#This Row],[Mass Scheme]],Axle_Data[Axle Code]&amp;Axle_Data[Mass Scheme],Axle_Data[MDL Maximum Mass (t)],"",0)</f>
        <v>17</v>
      </c>
      <c r="U64" cm="1">
        <f t="array" ref="U64">_xlfn.XLOOKUP(Mass_Data[[#This Row],[axle group 3]]&amp;Mass_Data[[#This Row],[Mass Scheme]],Axle_Data[Axle Code]&amp;Axle_Data[Mass Scheme],Axle_Data[MDL Maximum Mass (t)],"",0)</f>
        <v>17</v>
      </c>
      <c r="V64" cm="1">
        <f t="array" ref="V64">_xlfn.XLOOKUP(Mass_Data[[#This Row],[axle group 4]]&amp;Mass_Data[[#This Row],[Mass Scheme]],Axle_Data[Axle Code]&amp;Axle_Data[Mass Scheme],Axle_Data[MDL Maximum Mass (t)],"",0)</f>
        <v>17</v>
      </c>
      <c r="W64" t="str" cm="1">
        <f t="array" ref="W64">_xlfn.XLOOKUP(Mass_Data[[#This Row],[axle group 5]]&amp;Mass_Data[[#This Row],[Mass Scheme]],Axle_Data[Axle Code]&amp;Axle_Data[Mass Scheme],Axle_Data[MDL Maximum Mass (t)],"",0)</f>
        <v/>
      </c>
      <c r="X64" t="str" cm="1">
        <f t="array" ref="X64">_xlfn.XLOOKUP(Mass_Data[[#This Row],[axle group 6]]&amp;Mass_Data[[#This Row],[Mass Scheme]],Axle_Data[Axle Code]&amp;Axle_Data[Mass Scheme],Axle_Data[MDL Maximum Mass (t)],"",0)</f>
        <v/>
      </c>
      <c r="Y64" t="str" cm="1">
        <f t="array" ref="Y64">_xlfn.XLOOKUP(Mass_Data[[#This Row],[axle group 7]]&amp;Mass_Data[[#This Row],[Mass Scheme]],Axle_Data[Axle Code]&amp;Axle_Data[Mass Scheme],Axle_Data[MDL Maximum Mass (t)],"",0)</f>
        <v/>
      </c>
      <c r="Z64" s="81">
        <f>SUM(Mass_Data[[#This Row],[MDL axle group 1 mass]:[MDL axle group 7 mass]])</f>
        <v>57.5</v>
      </c>
      <c r="AA64">
        <f>Mass_Data[[#This Row],[Total (1)]]-Mass_Data[[#This Row],[GCM (t)]]</f>
        <v>0</v>
      </c>
      <c r="AB64" t="str">
        <f>IF(Mass_Data[[#This Row],[Difference between MDL and GCM]]=0,"YES","NO")</f>
        <v>YES</v>
      </c>
      <c r="AC64" s="22">
        <f>IFERROR(IF(Mass_Data[[#This Row],[Check (1)]]="YES",Mass_Data[[#This Row],[MDL axle group 1 mass]],Mass_Data[[#This Row],[MDL axle group 1 mass]]-(Mass_Data[[#This Row],[Difference between MDL and GCM]]*(Mass_Data[[#This Row],[MDL axle group 1 mass]]/Mass_Data[[#This Row],[Total (1)]]))),"")</f>
        <v>6.5</v>
      </c>
      <c r="AD64" s="22">
        <f>IFERROR(IF(Mass_Data[[#This Row],[Check (1)]]="YES",Mass_Data[[#This Row],[MDL axle group 2 mass]],Mass_Data[[#This Row],[MDL axle group 2 mass]]-(Mass_Data[[#This Row],[Difference between MDL and GCM]]*(Mass_Data[[#This Row],[MDL axle group 2 mass]]/Mass_Data[[#This Row],[Total (1)]]))),"")</f>
        <v>17</v>
      </c>
      <c r="AE64" s="22">
        <f>IFERROR(IF(Mass_Data[[#This Row],[Check (1)]]="YES",Mass_Data[[#This Row],[MDL axle group 3 mass]],Mass_Data[[#This Row],[MDL axle group 3 mass]]-(Mass_Data[[#This Row],[Difference between MDL and GCM]]*(Mass_Data[[#This Row],[MDL axle group 3 mass]]/Mass_Data[[#This Row],[Total (1)]]))),"")</f>
        <v>17</v>
      </c>
      <c r="AF64" s="22">
        <f>IFERROR(IF(Mass_Data[[#This Row],[Check (1)]]="YES",Mass_Data[[#This Row],[MDL axle group 4 mass]],Mass_Data[[#This Row],[MDL axle group 4 mass]]-(Mass_Data[[#This Row],[Difference between MDL and GCM]]*(Mass_Data[[#This Row],[MDL axle group 4 mass]]/Mass_Data[[#This Row],[Total (1)]]))),"")</f>
        <v>17</v>
      </c>
      <c r="AG64" s="22" t="str">
        <f>IFERROR(IF(Mass_Data[[#This Row],[Check (1)]]="YES",Mass_Data[[#This Row],[MDL axle group 5 mass]],Mass_Data[[#This Row],[MDL axle group 5 mass]]-(Mass_Data[[#This Row],[Difference between MDL and GCM]]*(Mass_Data[[#This Row],[MDL axle group 5 mass]]/Mass_Data[[#This Row],[Total (1)]]))),"")</f>
        <v/>
      </c>
      <c r="AH64" s="22" t="str">
        <f>IFERROR(IF(Mass_Data[[#This Row],[Check (1)]]="YES",Mass_Data[[#This Row],[MDL axle group 6 mass]],Mass_Data[[#This Row],[MDL axle group 6 mass]]-(Mass_Data[[#This Row],[Difference between MDL and GCM]]*(Mass_Data[[#This Row],[MDL axle group 6 mass]]/Mass_Data[[#This Row],[Total (1)]]))),"")</f>
        <v/>
      </c>
      <c r="AI64" s="22" t="str">
        <f>IFERROR(IF(Mass_Data[[#This Row],[Check (1)]]="YES",Mass_Data[[#This Row],[MDL axle group 7 mass]],Mass_Data[[#This Row],[MDL axle group 7 mass]]-(Mass_Data[[#This Row],[Difference between MDL and GCM]]*(Mass_Data[[#This Row],[MDL axle group 7 mass]]/Mass_Data[[#This Row],[Total (1)]]))),"")</f>
        <v/>
      </c>
      <c r="AJ64" s="81">
        <f>SUM(Mass_Data[[#This Row],[Corrected axle group 1 mass]:[Corrected axle group 7 mass]])</f>
        <v>57.5</v>
      </c>
      <c r="AK64">
        <f>Mass_Data[[#This Row],[Total (2)]]-Mass_Data[[#This Row],[GCM (t)]]</f>
        <v>0</v>
      </c>
      <c r="AL64" s="22" t="str">
        <f>IF(Mass_Data[[#This Row],[Difference between MDL and corrected axle masses]]=0,"YES","NO")</f>
        <v>YES</v>
      </c>
    </row>
    <row r="65" spans="3:38" x14ac:dyDescent="0.35">
      <c r="C65" s="10" t="str">
        <f t="shared" si="0"/>
        <v>PBS - 3-axle prime mover B-double (2-2) (HML): 3</v>
      </c>
      <c r="D65" s="10" t="s">
        <v>187</v>
      </c>
      <c r="E65" s="10" t="s">
        <v>147</v>
      </c>
      <c r="F65" s="10" t="s">
        <v>7</v>
      </c>
      <c r="G65" s="10" t="s">
        <v>5</v>
      </c>
      <c r="H65" t="s">
        <v>58</v>
      </c>
      <c r="I65" s="9">
        <v>57.5</v>
      </c>
      <c r="J65" s="14">
        <v>33.759782830224658</v>
      </c>
      <c r="K65" s="14">
        <f>Mass_Data[[#This Row],[GCM (t)]]-Mass_Data[[#This Row],[Payload (t)]]</f>
        <v>23.740217169775342</v>
      </c>
      <c r="L65" t="s">
        <v>8</v>
      </c>
      <c r="M65" t="s">
        <v>9</v>
      </c>
      <c r="N65" t="s">
        <v>30</v>
      </c>
      <c r="O65" t="s">
        <v>30</v>
      </c>
      <c r="P65">
        <v>0</v>
      </c>
      <c r="Q65">
        <v>0</v>
      </c>
      <c r="R65">
        <v>0</v>
      </c>
      <c r="S65" cm="1">
        <f t="array" ref="S65">_xlfn.XLOOKUP(Mass_Data[[#This Row],[axle group 1]]&amp;Mass_Data[[#This Row],[Mass Scheme]],Axle_Data[Axle Code]&amp;Axle_Data[Mass Scheme],Axle_Data[MDL Maximum Mass (t)],"",0)</f>
        <v>6.5</v>
      </c>
      <c r="T65" cm="1">
        <f t="array" ref="T65">_xlfn.XLOOKUP(Mass_Data[[#This Row],[axle group 2]]&amp;Mass_Data[[#This Row],[Mass Scheme]],Axle_Data[Axle Code]&amp;Axle_Data[Mass Scheme],Axle_Data[MDL Maximum Mass (t)],"",0)</f>
        <v>17</v>
      </c>
      <c r="U65" cm="1">
        <f t="array" ref="U65">_xlfn.XLOOKUP(Mass_Data[[#This Row],[axle group 3]]&amp;Mass_Data[[#This Row],[Mass Scheme]],Axle_Data[Axle Code]&amp;Axle_Data[Mass Scheme],Axle_Data[MDL Maximum Mass (t)],"",0)</f>
        <v>17</v>
      </c>
      <c r="V65" cm="1">
        <f t="array" ref="V65">_xlfn.XLOOKUP(Mass_Data[[#This Row],[axle group 4]]&amp;Mass_Data[[#This Row],[Mass Scheme]],Axle_Data[Axle Code]&amp;Axle_Data[Mass Scheme],Axle_Data[MDL Maximum Mass (t)],"",0)</f>
        <v>17</v>
      </c>
      <c r="W65" t="str" cm="1">
        <f t="array" ref="W65">_xlfn.XLOOKUP(Mass_Data[[#This Row],[axle group 5]]&amp;Mass_Data[[#This Row],[Mass Scheme]],Axle_Data[Axle Code]&amp;Axle_Data[Mass Scheme],Axle_Data[MDL Maximum Mass (t)],"",0)</f>
        <v/>
      </c>
      <c r="X65" t="str" cm="1">
        <f t="array" ref="X65">_xlfn.XLOOKUP(Mass_Data[[#This Row],[axle group 6]]&amp;Mass_Data[[#This Row],[Mass Scheme]],Axle_Data[Axle Code]&amp;Axle_Data[Mass Scheme],Axle_Data[MDL Maximum Mass (t)],"",0)</f>
        <v/>
      </c>
      <c r="Y65" t="str" cm="1">
        <f t="array" ref="Y65">_xlfn.XLOOKUP(Mass_Data[[#This Row],[axle group 7]]&amp;Mass_Data[[#This Row],[Mass Scheme]],Axle_Data[Axle Code]&amp;Axle_Data[Mass Scheme],Axle_Data[MDL Maximum Mass (t)],"",0)</f>
        <v/>
      </c>
      <c r="Z65" s="81">
        <f>SUM(Mass_Data[[#This Row],[MDL axle group 1 mass]:[MDL axle group 7 mass]])</f>
        <v>57.5</v>
      </c>
      <c r="AA65">
        <f>Mass_Data[[#This Row],[Total (1)]]-Mass_Data[[#This Row],[GCM (t)]]</f>
        <v>0</v>
      </c>
      <c r="AB65" t="str">
        <f>IF(Mass_Data[[#This Row],[Difference between MDL and GCM]]=0,"YES","NO")</f>
        <v>YES</v>
      </c>
      <c r="AC65" s="22">
        <f>IFERROR(IF(Mass_Data[[#This Row],[Check (1)]]="YES",Mass_Data[[#This Row],[MDL axle group 1 mass]],Mass_Data[[#This Row],[MDL axle group 1 mass]]-(Mass_Data[[#This Row],[Difference between MDL and GCM]]*(Mass_Data[[#This Row],[MDL axle group 1 mass]]/Mass_Data[[#This Row],[Total (1)]]))),"")</f>
        <v>6.5</v>
      </c>
      <c r="AD65" s="22">
        <f>IFERROR(IF(Mass_Data[[#This Row],[Check (1)]]="YES",Mass_Data[[#This Row],[MDL axle group 2 mass]],Mass_Data[[#This Row],[MDL axle group 2 mass]]-(Mass_Data[[#This Row],[Difference between MDL and GCM]]*(Mass_Data[[#This Row],[MDL axle group 2 mass]]/Mass_Data[[#This Row],[Total (1)]]))),"")</f>
        <v>17</v>
      </c>
      <c r="AE65" s="22">
        <f>IFERROR(IF(Mass_Data[[#This Row],[Check (1)]]="YES",Mass_Data[[#This Row],[MDL axle group 3 mass]],Mass_Data[[#This Row],[MDL axle group 3 mass]]-(Mass_Data[[#This Row],[Difference between MDL and GCM]]*(Mass_Data[[#This Row],[MDL axle group 3 mass]]/Mass_Data[[#This Row],[Total (1)]]))),"")</f>
        <v>17</v>
      </c>
      <c r="AF65" s="22">
        <f>IFERROR(IF(Mass_Data[[#This Row],[Check (1)]]="YES",Mass_Data[[#This Row],[MDL axle group 4 mass]],Mass_Data[[#This Row],[MDL axle group 4 mass]]-(Mass_Data[[#This Row],[Difference between MDL and GCM]]*(Mass_Data[[#This Row],[MDL axle group 4 mass]]/Mass_Data[[#This Row],[Total (1)]]))),"")</f>
        <v>17</v>
      </c>
      <c r="AG65" s="22" t="str">
        <f>IFERROR(IF(Mass_Data[[#This Row],[Check (1)]]="YES",Mass_Data[[#This Row],[MDL axle group 5 mass]],Mass_Data[[#This Row],[MDL axle group 5 mass]]-(Mass_Data[[#This Row],[Difference between MDL and GCM]]*(Mass_Data[[#This Row],[MDL axle group 5 mass]]/Mass_Data[[#This Row],[Total (1)]]))),"")</f>
        <v/>
      </c>
      <c r="AH65" s="22" t="str">
        <f>IFERROR(IF(Mass_Data[[#This Row],[Check (1)]]="YES",Mass_Data[[#This Row],[MDL axle group 6 mass]],Mass_Data[[#This Row],[MDL axle group 6 mass]]-(Mass_Data[[#This Row],[Difference between MDL and GCM]]*(Mass_Data[[#This Row],[MDL axle group 6 mass]]/Mass_Data[[#This Row],[Total (1)]]))),"")</f>
        <v/>
      </c>
      <c r="AI65" s="22" t="str">
        <f>IFERROR(IF(Mass_Data[[#This Row],[Check (1)]]="YES",Mass_Data[[#This Row],[MDL axle group 7 mass]],Mass_Data[[#This Row],[MDL axle group 7 mass]]-(Mass_Data[[#This Row],[Difference between MDL and GCM]]*(Mass_Data[[#This Row],[MDL axle group 7 mass]]/Mass_Data[[#This Row],[Total (1)]]))),"")</f>
        <v/>
      </c>
      <c r="AJ65" s="81">
        <f>SUM(Mass_Data[[#This Row],[Corrected axle group 1 mass]:[Corrected axle group 7 mass]])</f>
        <v>57.5</v>
      </c>
      <c r="AK65">
        <f>Mass_Data[[#This Row],[Total (2)]]-Mass_Data[[#This Row],[GCM (t)]]</f>
        <v>0</v>
      </c>
      <c r="AL65" s="22" t="str">
        <f>IF(Mass_Data[[#This Row],[Difference between MDL and corrected axle masses]]=0,"YES","NO")</f>
        <v>YES</v>
      </c>
    </row>
    <row r="66" spans="3:38" x14ac:dyDescent="0.35">
      <c r="C66" s="10" t="str">
        <f t="shared" si="0"/>
        <v>PBS - 3-axle prime mover B-double (3-2) (GML): 1</v>
      </c>
      <c r="D66" s="10" t="s">
        <v>185</v>
      </c>
      <c r="E66" s="10" t="s">
        <v>147</v>
      </c>
      <c r="F66" s="10" t="s">
        <v>18</v>
      </c>
      <c r="G66" s="10" t="s">
        <v>3</v>
      </c>
      <c r="H66" t="s">
        <v>126</v>
      </c>
      <c r="I66" s="9">
        <v>50.5</v>
      </c>
      <c r="J66" s="14">
        <v>25.299693075055863</v>
      </c>
      <c r="K66" s="14">
        <f>Mass_Data[[#This Row],[GCM (t)]]-Mass_Data[[#This Row],[Payload (t)]]</f>
        <v>25.200306924944137</v>
      </c>
      <c r="L66" t="s">
        <v>8</v>
      </c>
      <c r="M66" t="s">
        <v>9</v>
      </c>
      <c r="N66" t="s">
        <v>10</v>
      </c>
      <c r="O66" t="s">
        <v>30</v>
      </c>
      <c r="P66">
        <v>0</v>
      </c>
      <c r="Q66">
        <v>0</v>
      </c>
      <c r="R66">
        <v>0</v>
      </c>
      <c r="S66" cm="1">
        <f t="array" ref="S66">_xlfn.XLOOKUP(Mass_Data[[#This Row],[axle group 1]]&amp;Mass_Data[[#This Row],[Mass Scheme]],Axle_Data[Axle Code]&amp;Axle_Data[Mass Scheme],Axle_Data[MDL Maximum Mass (t)],"",0)</f>
        <v>6.5</v>
      </c>
      <c r="T66" cm="1">
        <f t="array" ref="T66">_xlfn.XLOOKUP(Mass_Data[[#This Row],[axle group 2]]&amp;Mass_Data[[#This Row],[Mass Scheme]],Axle_Data[Axle Code]&amp;Axle_Data[Mass Scheme],Axle_Data[MDL Maximum Mass (t)],"",0)</f>
        <v>16.5</v>
      </c>
      <c r="U66" cm="1">
        <f t="array" ref="U66">_xlfn.XLOOKUP(Mass_Data[[#This Row],[axle group 3]]&amp;Mass_Data[[#This Row],[Mass Scheme]],Axle_Data[Axle Code]&amp;Axle_Data[Mass Scheme],Axle_Data[MDL Maximum Mass (t)],"",0)</f>
        <v>20</v>
      </c>
      <c r="V66" cm="1">
        <f t="array" ref="V66">_xlfn.XLOOKUP(Mass_Data[[#This Row],[axle group 4]]&amp;Mass_Data[[#This Row],[Mass Scheme]],Axle_Data[Axle Code]&amp;Axle_Data[Mass Scheme],Axle_Data[MDL Maximum Mass (t)],"",0)</f>
        <v>16.5</v>
      </c>
      <c r="W66" t="str" cm="1">
        <f t="array" ref="W66">_xlfn.XLOOKUP(Mass_Data[[#This Row],[axle group 5]]&amp;Mass_Data[[#This Row],[Mass Scheme]],Axle_Data[Axle Code]&amp;Axle_Data[Mass Scheme],Axle_Data[MDL Maximum Mass (t)],"",0)</f>
        <v/>
      </c>
      <c r="X66" t="str" cm="1">
        <f t="array" ref="X66">_xlfn.XLOOKUP(Mass_Data[[#This Row],[axle group 6]]&amp;Mass_Data[[#This Row],[Mass Scheme]],Axle_Data[Axle Code]&amp;Axle_Data[Mass Scheme],Axle_Data[MDL Maximum Mass (t)],"",0)</f>
        <v/>
      </c>
      <c r="Y66" t="str" cm="1">
        <f t="array" ref="Y66">_xlfn.XLOOKUP(Mass_Data[[#This Row],[axle group 7]]&amp;Mass_Data[[#This Row],[Mass Scheme]],Axle_Data[Axle Code]&amp;Axle_Data[Mass Scheme],Axle_Data[MDL Maximum Mass (t)],"",0)</f>
        <v/>
      </c>
      <c r="Z66" s="81">
        <f>SUM(Mass_Data[[#This Row],[MDL axle group 1 mass]:[MDL axle group 7 mass]])</f>
        <v>59.5</v>
      </c>
      <c r="AA66">
        <f>Mass_Data[[#This Row],[Total (1)]]-Mass_Data[[#This Row],[GCM (t)]]</f>
        <v>9</v>
      </c>
      <c r="AB66" t="str">
        <f>IF(Mass_Data[[#This Row],[Difference between MDL and GCM]]=0,"YES","NO")</f>
        <v>NO</v>
      </c>
      <c r="AC66" s="22">
        <f>IFERROR(IF(Mass_Data[[#This Row],[Check (1)]]="YES",Mass_Data[[#This Row],[MDL axle group 1 mass]],Mass_Data[[#This Row],[MDL axle group 1 mass]]-(Mass_Data[[#This Row],[Difference between MDL and GCM]]*(Mass_Data[[#This Row],[MDL axle group 1 mass]]/Mass_Data[[#This Row],[Total (1)]]))),"")</f>
        <v>5.5168067226890756</v>
      </c>
      <c r="AD66" s="22">
        <f>IFERROR(IF(Mass_Data[[#This Row],[Check (1)]]="YES",Mass_Data[[#This Row],[MDL axle group 2 mass]],Mass_Data[[#This Row],[MDL axle group 2 mass]]-(Mass_Data[[#This Row],[Difference between MDL and GCM]]*(Mass_Data[[#This Row],[MDL axle group 2 mass]]/Mass_Data[[#This Row],[Total (1)]]))),"")</f>
        <v>14.004201680672269</v>
      </c>
      <c r="AE66" s="22">
        <f>IFERROR(IF(Mass_Data[[#This Row],[Check (1)]]="YES",Mass_Data[[#This Row],[MDL axle group 3 mass]],Mass_Data[[#This Row],[MDL axle group 3 mass]]-(Mass_Data[[#This Row],[Difference between MDL and GCM]]*(Mass_Data[[#This Row],[MDL axle group 3 mass]]/Mass_Data[[#This Row],[Total (1)]]))),"")</f>
        <v>16.974789915966387</v>
      </c>
      <c r="AF66" s="22">
        <f>IFERROR(IF(Mass_Data[[#This Row],[Check (1)]]="YES",Mass_Data[[#This Row],[MDL axle group 4 mass]],Mass_Data[[#This Row],[MDL axle group 4 mass]]-(Mass_Data[[#This Row],[Difference between MDL and GCM]]*(Mass_Data[[#This Row],[MDL axle group 4 mass]]/Mass_Data[[#This Row],[Total (1)]]))),"")</f>
        <v>14.004201680672269</v>
      </c>
      <c r="AG66" s="22" t="str">
        <f>IFERROR(IF(Mass_Data[[#This Row],[Check (1)]]="YES",Mass_Data[[#This Row],[MDL axle group 5 mass]],Mass_Data[[#This Row],[MDL axle group 5 mass]]-(Mass_Data[[#This Row],[Difference between MDL and GCM]]*(Mass_Data[[#This Row],[MDL axle group 5 mass]]/Mass_Data[[#This Row],[Total (1)]]))),"")</f>
        <v/>
      </c>
      <c r="AH66" s="22" t="str">
        <f>IFERROR(IF(Mass_Data[[#This Row],[Check (1)]]="YES",Mass_Data[[#This Row],[MDL axle group 6 mass]],Mass_Data[[#This Row],[MDL axle group 6 mass]]-(Mass_Data[[#This Row],[Difference between MDL and GCM]]*(Mass_Data[[#This Row],[MDL axle group 6 mass]]/Mass_Data[[#This Row],[Total (1)]]))),"")</f>
        <v/>
      </c>
      <c r="AI66" s="22" t="str">
        <f>IFERROR(IF(Mass_Data[[#This Row],[Check (1)]]="YES",Mass_Data[[#This Row],[MDL axle group 7 mass]],Mass_Data[[#This Row],[MDL axle group 7 mass]]-(Mass_Data[[#This Row],[Difference between MDL and GCM]]*(Mass_Data[[#This Row],[MDL axle group 7 mass]]/Mass_Data[[#This Row],[Total (1)]]))),"")</f>
        <v/>
      </c>
      <c r="AJ66" s="81">
        <f>SUM(Mass_Data[[#This Row],[Corrected axle group 1 mass]:[Corrected axle group 7 mass]])</f>
        <v>50.5</v>
      </c>
      <c r="AK66">
        <f>Mass_Data[[#This Row],[Total (2)]]-Mass_Data[[#This Row],[GCM (t)]]</f>
        <v>0</v>
      </c>
      <c r="AL66" s="22" t="str">
        <f>IF(Mass_Data[[#This Row],[Difference between MDL and corrected axle masses]]=0,"YES","NO")</f>
        <v>YES</v>
      </c>
    </row>
    <row r="67" spans="3:38" x14ac:dyDescent="0.35">
      <c r="C67" s="10" t="str">
        <f t="shared" si="0"/>
        <v>PBS - 3-axle prime mover B-double (3-2) (GML): 2</v>
      </c>
      <c r="D67" s="10" t="s">
        <v>185</v>
      </c>
      <c r="E67" s="10" t="s">
        <v>147</v>
      </c>
      <c r="F67" s="10" t="s">
        <v>18</v>
      </c>
      <c r="G67" s="10" t="s">
        <v>4</v>
      </c>
      <c r="H67" t="s">
        <v>126</v>
      </c>
      <c r="I67" s="9">
        <v>59.5</v>
      </c>
      <c r="J67" s="14">
        <v>34.299693075055863</v>
      </c>
      <c r="K67" s="14">
        <f>Mass_Data[[#This Row],[GCM (t)]]-Mass_Data[[#This Row],[Payload (t)]]</f>
        <v>25.200306924944137</v>
      </c>
      <c r="L67" t="s">
        <v>8</v>
      </c>
      <c r="M67" t="s">
        <v>9</v>
      </c>
      <c r="N67" t="s">
        <v>10</v>
      </c>
      <c r="O67" t="s">
        <v>30</v>
      </c>
      <c r="P67">
        <v>0</v>
      </c>
      <c r="Q67">
        <v>0</v>
      </c>
      <c r="R67">
        <v>0</v>
      </c>
      <c r="S67" cm="1">
        <f t="array" ref="S67">_xlfn.XLOOKUP(Mass_Data[[#This Row],[axle group 1]]&amp;Mass_Data[[#This Row],[Mass Scheme]],Axle_Data[Axle Code]&amp;Axle_Data[Mass Scheme],Axle_Data[MDL Maximum Mass (t)],"",0)</f>
        <v>6.5</v>
      </c>
      <c r="T67" cm="1">
        <f t="array" ref="T67">_xlfn.XLOOKUP(Mass_Data[[#This Row],[axle group 2]]&amp;Mass_Data[[#This Row],[Mass Scheme]],Axle_Data[Axle Code]&amp;Axle_Data[Mass Scheme],Axle_Data[MDL Maximum Mass (t)],"",0)</f>
        <v>16.5</v>
      </c>
      <c r="U67" cm="1">
        <f t="array" ref="U67">_xlfn.XLOOKUP(Mass_Data[[#This Row],[axle group 3]]&amp;Mass_Data[[#This Row],[Mass Scheme]],Axle_Data[Axle Code]&amp;Axle_Data[Mass Scheme],Axle_Data[MDL Maximum Mass (t)],"",0)</f>
        <v>20</v>
      </c>
      <c r="V67" cm="1">
        <f t="array" ref="V67">_xlfn.XLOOKUP(Mass_Data[[#This Row],[axle group 4]]&amp;Mass_Data[[#This Row],[Mass Scheme]],Axle_Data[Axle Code]&amp;Axle_Data[Mass Scheme],Axle_Data[MDL Maximum Mass (t)],"",0)</f>
        <v>16.5</v>
      </c>
      <c r="W67" t="str" cm="1">
        <f t="array" ref="W67">_xlfn.XLOOKUP(Mass_Data[[#This Row],[axle group 5]]&amp;Mass_Data[[#This Row],[Mass Scheme]],Axle_Data[Axle Code]&amp;Axle_Data[Mass Scheme],Axle_Data[MDL Maximum Mass (t)],"",0)</f>
        <v/>
      </c>
      <c r="X67" t="str" cm="1">
        <f t="array" ref="X67">_xlfn.XLOOKUP(Mass_Data[[#This Row],[axle group 6]]&amp;Mass_Data[[#This Row],[Mass Scheme]],Axle_Data[Axle Code]&amp;Axle_Data[Mass Scheme],Axle_Data[MDL Maximum Mass (t)],"",0)</f>
        <v/>
      </c>
      <c r="Y67" t="str" cm="1">
        <f t="array" ref="Y67">_xlfn.XLOOKUP(Mass_Data[[#This Row],[axle group 7]]&amp;Mass_Data[[#This Row],[Mass Scheme]],Axle_Data[Axle Code]&amp;Axle_Data[Mass Scheme],Axle_Data[MDL Maximum Mass (t)],"",0)</f>
        <v/>
      </c>
      <c r="Z67" s="81">
        <f>SUM(Mass_Data[[#This Row],[MDL axle group 1 mass]:[MDL axle group 7 mass]])</f>
        <v>59.5</v>
      </c>
      <c r="AA67">
        <f>Mass_Data[[#This Row],[Total (1)]]-Mass_Data[[#This Row],[GCM (t)]]</f>
        <v>0</v>
      </c>
      <c r="AB67" t="str">
        <f>IF(Mass_Data[[#This Row],[Difference between MDL and GCM]]=0,"YES","NO")</f>
        <v>YES</v>
      </c>
      <c r="AC67" s="22">
        <f>IFERROR(IF(Mass_Data[[#This Row],[Check (1)]]="YES",Mass_Data[[#This Row],[MDL axle group 1 mass]],Mass_Data[[#This Row],[MDL axle group 1 mass]]-(Mass_Data[[#This Row],[Difference between MDL and GCM]]*(Mass_Data[[#This Row],[MDL axle group 1 mass]]/Mass_Data[[#This Row],[Total (1)]]))),"")</f>
        <v>6.5</v>
      </c>
      <c r="AD67" s="22">
        <f>IFERROR(IF(Mass_Data[[#This Row],[Check (1)]]="YES",Mass_Data[[#This Row],[MDL axle group 2 mass]],Mass_Data[[#This Row],[MDL axle group 2 mass]]-(Mass_Data[[#This Row],[Difference between MDL and GCM]]*(Mass_Data[[#This Row],[MDL axle group 2 mass]]/Mass_Data[[#This Row],[Total (1)]]))),"")</f>
        <v>16.5</v>
      </c>
      <c r="AE67" s="22">
        <f>IFERROR(IF(Mass_Data[[#This Row],[Check (1)]]="YES",Mass_Data[[#This Row],[MDL axle group 3 mass]],Mass_Data[[#This Row],[MDL axle group 3 mass]]-(Mass_Data[[#This Row],[Difference between MDL and GCM]]*(Mass_Data[[#This Row],[MDL axle group 3 mass]]/Mass_Data[[#This Row],[Total (1)]]))),"")</f>
        <v>20</v>
      </c>
      <c r="AF67" s="22">
        <f>IFERROR(IF(Mass_Data[[#This Row],[Check (1)]]="YES",Mass_Data[[#This Row],[MDL axle group 4 mass]],Mass_Data[[#This Row],[MDL axle group 4 mass]]-(Mass_Data[[#This Row],[Difference between MDL and GCM]]*(Mass_Data[[#This Row],[MDL axle group 4 mass]]/Mass_Data[[#This Row],[Total (1)]]))),"")</f>
        <v>16.5</v>
      </c>
      <c r="AG67" s="22" t="str">
        <f>IFERROR(IF(Mass_Data[[#This Row],[Check (1)]]="YES",Mass_Data[[#This Row],[MDL axle group 5 mass]],Mass_Data[[#This Row],[MDL axle group 5 mass]]-(Mass_Data[[#This Row],[Difference between MDL and GCM]]*(Mass_Data[[#This Row],[MDL axle group 5 mass]]/Mass_Data[[#This Row],[Total (1)]]))),"")</f>
        <v/>
      </c>
      <c r="AH67" s="22" t="str">
        <f>IFERROR(IF(Mass_Data[[#This Row],[Check (1)]]="YES",Mass_Data[[#This Row],[MDL axle group 6 mass]],Mass_Data[[#This Row],[MDL axle group 6 mass]]-(Mass_Data[[#This Row],[Difference between MDL and GCM]]*(Mass_Data[[#This Row],[MDL axle group 6 mass]]/Mass_Data[[#This Row],[Total (1)]]))),"")</f>
        <v/>
      </c>
      <c r="AI67" s="22" t="str">
        <f>IFERROR(IF(Mass_Data[[#This Row],[Check (1)]]="YES",Mass_Data[[#This Row],[MDL axle group 7 mass]],Mass_Data[[#This Row],[MDL axle group 7 mass]]-(Mass_Data[[#This Row],[Difference between MDL and GCM]]*(Mass_Data[[#This Row],[MDL axle group 7 mass]]/Mass_Data[[#This Row],[Total (1)]]))),"")</f>
        <v/>
      </c>
      <c r="AJ67" s="81">
        <f>SUM(Mass_Data[[#This Row],[Corrected axle group 1 mass]:[Corrected axle group 7 mass]])</f>
        <v>59.5</v>
      </c>
      <c r="AK67">
        <f>Mass_Data[[#This Row],[Total (2)]]-Mass_Data[[#This Row],[GCM (t)]]</f>
        <v>0</v>
      </c>
      <c r="AL67" s="22" t="str">
        <f>IF(Mass_Data[[#This Row],[Difference between MDL and corrected axle masses]]=0,"YES","NO")</f>
        <v>YES</v>
      </c>
    </row>
    <row r="68" spans="3:38" x14ac:dyDescent="0.35">
      <c r="C68" s="10" t="str">
        <f t="shared" ref="C68:C131" si="1">IF(G68="n/a",CONCATENATE(E68," - ", D68," (",F68,")"),CONCATENATE(E68," - ", D68," (",F68,")",": ",G68))</f>
        <v>PBS - 3-axle prime mover B-double (3-2) (CML): 2</v>
      </c>
      <c r="D68" s="10" t="s">
        <v>185</v>
      </c>
      <c r="E68" s="10" t="s">
        <v>147</v>
      </c>
      <c r="F68" s="10" t="s">
        <v>20</v>
      </c>
      <c r="G68" s="10" t="s">
        <v>4</v>
      </c>
      <c r="H68" t="s">
        <v>126</v>
      </c>
      <c r="I68" s="9">
        <v>61.5</v>
      </c>
      <c r="J68" s="14">
        <v>36.299693075055863</v>
      </c>
      <c r="K68" s="14">
        <f>Mass_Data[[#This Row],[GCM (t)]]-Mass_Data[[#This Row],[Payload (t)]]</f>
        <v>25.200306924944137</v>
      </c>
      <c r="L68" t="s">
        <v>8</v>
      </c>
      <c r="M68" t="s">
        <v>9</v>
      </c>
      <c r="N68" t="s">
        <v>10</v>
      </c>
      <c r="O68" t="s">
        <v>30</v>
      </c>
      <c r="P68">
        <v>0</v>
      </c>
      <c r="Q68">
        <v>0</v>
      </c>
      <c r="R68">
        <v>0</v>
      </c>
      <c r="S68" cm="1">
        <f t="array" ref="S68">_xlfn.XLOOKUP(Mass_Data[[#This Row],[axle group 1]]&amp;Mass_Data[[#This Row],[Mass Scheme]],Axle_Data[Axle Code]&amp;Axle_Data[Mass Scheme],Axle_Data[MDL Maximum Mass (t)],"",0)</f>
        <v>6.5</v>
      </c>
      <c r="T68" cm="1">
        <f t="array" ref="T68">_xlfn.XLOOKUP(Mass_Data[[#This Row],[axle group 2]]&amp;Mass_Data[[#This Row],[Mass Scheme]],Axle_Data[Axle Code]&amp;Axle_Data[Mass Scheme],Axle_Data[MDL Maximum Mass (t)],"",0)</f>
        <v>17</v>
      </c>
      <c r="U68" cm="1">
        <f t="array" ref="U68">_xlfn.XLOOKUP(Mass_Data[[#This Row],[axle group 3]]&amp;Mass_Data[[#This Row],[Mass Scheme]],Axle_Data[Axle Code]&amp;Axle_Data[Mass Scheme],Axle_Data[MDL Maximum Mass (t)],"",0)</f>
        <v>21</v>
      </c>
      <c r="V68" cm="1">
        <f t="array" ref="V68">_xlfn.XLOOKUP(Mass_Data[[#This Row],[axle group 4]]&amp;Mass_Data[[#This Row],[Mass Scheme]],Axle_Data[Axle Code]&amp;Axle_Data[Mass Scheme],Axle_Data[MDL Maximum Mass (t)],"",0)</f>
        <v>17</v>
      </c>
      <c r="W68" t="str" cm="1">
        <f t="array" ref="W68">_xlfn.XLOOKUP(Mass_Data[[#This Row],[axle group 5]]&amp;Mass_Data[[#This Row],[Mass Scheme]],Axle_Data[Axle Code]&amp;Axle_Data[Mass Scheme],Axle_Data[MDL Maximum Mass (t)],"",0)</f>
        <v/>
      </c>
      <c r="X68" t="str" cm="1">
        <f t="array" ref="X68">_xlfn.XLOOKUP(Mass_Data[[#This Row],[axle group 6]]&amp;Mass_Data[[#This Row],[Mass Scheme]],Axle_Data[Axle Code]&amp;Axle_Data[Mass Scheme],Axle_Data[MDL Maximum Mass (t)],"",0)</f>
        <v/>
      </c>
      <c r="Y68" t="str" cm="1">
        <f t="array" ref="Y68">_xlfn.XLOOKUP(Mass_Data[[#This Row],[axle group 7]]&amp;Mass_Data[[#This Row],[Mass Scheme]],Axle_Data[Axle Code]&amp;Axle_Data[Mass Scheme],Axle_Data[MDL Maximum Mass (t)],"",0)</f>
        <v/>
      </c>
      <c r="Z68" s="81">
        <f>SUM(Mass_Data[[#This Row],[MDL axle group 1 mass]:[MDL axle group 7 mass]])</f>
        <v>61.5</v>
      </c>
      <c r="AA68">
        <f>Mass_Data[[#This Row],[Total (1)]]-Mass_Data[[#This Row],[GCM (t)]]</f>
        <v>0</v>
      </c>
      <c r="AB68" t="str">
        <f>IF(Mass_Data[[#This Row],[Difference between MDL and GCM]]=0,"YES","NO")</f>
        <v>YES</v>
      </c>
      <c r="AC68" s="22">
        <f>IFERROR(IF(Mass_Data[[#This Row],[Check (1)]]="YES",Mass_Data[[#This Row],[MDL axle group 1 mass]],Mass_Data[[#This Row],[MDL axle group 1 mass]]-(Mass_Data[[#This Row],[Difference between MDL and GCM]]*(Mass_Data[[#This Row],[MDL axle group 1 mass]]/Mass_Data[[#This Row],[Total (1)]]))),"")</f>
        <v>6.5</v>
      </c>
      <c r="AD68" s="22">
        <f>IFERROR(IF(Mass_Data[[#This Row],[Check (1)]]="YES",Mass_Data[[#This Row],[MDL axle group 2 mass]],Mass_Data[[#This Row],[MDL axle group 2 mass]]-(Mass_Data[[#This Row],[Difference between MDL and GCM]]*(Mass_Data[[#This Row],[MDL axle group 2 mass]]/Mass_Data[[#This Row],[Total (1)]]))),"")</f>
        <v>17</v>
      </c>
      <c r="AE68" s="22">
        <f>IFERROR(IF(Mass_Data[[#This Row],[Check (1)]]="YES",Mass_Data[[#This Row],[MDL axle group 3 mass]],Mass_Data[[#This Row],[MDL axle group 3 mass]]-(Mass_Data[[#This Row],[Difference between MDL and GCM]]*(Mass_Data[[#This Row],[MDL axle group 3 mass]]/Mass_Data[[#This Row],[Total (1)]]))),"")</f>
        <v>21</v>
      </c>
      <c r="AF68" s="22">
        <f>IFERROR(IF(Mass_Data[[#This Row],[Check (1)]]="YES",Mass_Data[[#This Row],[MDL axle group 4 mass]],Mass_Data[[#This Row],[MDL axle group 4 mass]]-(Mass_Data[[#This Row],[Difference between MDL and GCM]]*(Mass_Data[[#This Row],[MDL axle group 4 mass]]/Mass_Data[[#This Row],[Total (1)]]))),"")</f>
        <v>17</v>
      </c>
      <c r="AG68" s="22" t="str">
        <f>IFERROR(IF(Mass_Data[[#This Row],[Check (1)]]="YES",Mass_Data[[#This Row],[MDL axle group 5 mass]],Mass_Data[[#This Row],[MDL axle group 5 mass]]-(Mass_Data[[#This Row],[Difference between MDL and GCM]]*(Mass_Data[[#This Row],[MDL axle group 5 mass]]/Mass_Data[[#This Row],[Total (1)]]))),"")</f>
        <v/>
      </c>
      <c r="AH68" s="22" t="str">
        <f>IFERROR(IF(Mass_Data[[#This Row],[Check (1)]]="YES",Mass_Data[[#This Row],[MDL axle group 6 mass]],Mass_Data[[#This Row],[MDL axle group 6 mass]]-(Mass_Data[[#This Row],[Difference between MDL and GCM]]*(Mass_Data[[#This Row],[MDL axle group 6 mass]]/Mass_Data[[#This Row],[Total (1)]]))),"")</f>
        <v/>
      </c>
      <c r="AI68" s="22" t="str">
        <f>IFERROR(IF(Mass_Data[[#This Row],[Check (1)]]="YES",Mass_Data[[#This Row],[MDL axle group 7 mass]],Mass_Data[[#This Row],[MDL axle group 7 mass]]-(Mass_Data[[#This Row],[Difference between MDL and GCM]]*(Mass_Data[[#This Row],[MDL axle group 7 mass]]/Mass_Data[[#This Row],[Total (1)]]))),"")</f>
        <v/>
      </c>
      <c r="AJ68" s="81">
        <f>SUM(Mass_Data[[#This Row],[Corrected axle group 1 mass]:[Corrected axle group 7 mass]])</f>
        <v>61.5</v>
      </c>
      <c r="AK68">
        <f>Mass_Data[[#This Row],[Total (2)]]-Mass_Data[[#This Row],[GCM (t)]]</f>
        <v>0</v>
      </c>
      <c r="AL68" s="22" t="str">
        <f>IF(Mass_Data[[#This Row],[Difference between MDL and corrected axle masses]]=0,"YES","NO")</f>
        <v>YES</v>
      </c>
    </row>
    <row r="69" spans="3:38" x14ac:dyDescent="0.35">
      <c r="C69" s="10" t="str">
        <f t="shared" si="1"/>
        <v>PBS - 3-axle prime mover B-double (3-2) (HML): 2</v>
      </c>
      <c r="D69" s="10" t="s">
        <v>185</v>
      </c>
      <c r="E69" s="10" t="s">
        <v>147</v>
      </c>
      <c r="F69" s="10" t="s">
        <v>7</v>
      </c>
      <c r="G69" s="10" t="s">
        <v>4</v>
      </c>
      <c r="H69" t="s">
        <v>126</v>
      </c>
      <c r="I69" s="9">
        <v>63</v>
      </c>
      <c r="J69" s="14">
        <v>37.799693075055863</v>
      </c>
      <c r="K69" s="14">
        <f>Mass_Data[[#This Row],[GCM (t)]]-Mass_Data[[#This Row],[Payload (t)]]</f>
        <v>25.200306924944137</v>
      </c>
      <c r="L69" t="s">
        <v>8</v>
      </c>
      <c r="M69" t="s">
        <v>9</v>
      </c>
      <c r="N69" t="s">
        <v>10</v>
      </c>
      <c r="O69" t="s">
        <v>30</v>
      </c>
      <c r="P69">
        <v>0</v>
      </c>
      <c r="Q69">
        <v>0</v>
      </c>
      <c r="R69">
        <v>0</v>
      </c>
      <c r="S69" cm="1">
        <f t="array" ref="S69">_xlfn.XLOOKUP(Mass_Data[[#This Row],[axle group 1]]&amp;Mass_Data[[#This Row],[Mass Scheme]],Axle_Data[Axle Code]&amp;Axle_Data[Mass Scheme],Axle_Data[MDL Maximum Mass (t)],"",0)</f>
        <v>6.5</v>
      </c>
      <c r="T69" cm="1">
        <f t="array" ref="T69">_xlfn.XLOOKUP(Mass_Data[[#This Row],[axle group 2]]&amp;Mass_Data[[#This Row],[Mass Scheme]],Axle_Data[Axle Code]&amp;Axle_Data[Mass Scheme],Axle_Data[MDL Maximum Mass (t)],"",0)</f>
        <v>17</v>
      </c>
      <c r="U69" cm="1">
        <f t="array" ref="U69">_xlfn.XLOOKUP(Mass_Data[[#This Row],[axle group 3]]&amp;Mass_Data[[#This Row],[Mass Scheme]],Axle_Data[Axle Code]&amp;Axle_Data[Mass Scheme],Axle_Data[MDL Maximum Mass (t)],"",0)</f>
        <v>22.5</v>
      </c>
      <c r="V69" cm="1">
        <f t="array" ref="V69">_xlfn.XLOOKUP(Mass_Data[[#This Row],[axle group 4]]&amp;Mass_Data[[#This Row],[Mass Scheme]],Axle_Data[Axle Code]&amp;Axle_Data[Mass Scheme],Axle_Data[MDL Maximum Mass (t)],"",0)</f>
        <v>17</v>
      </c>
      <c r="W69" t="str" cm="1">
        <f t="array" ref="W69">_xlfn.XLOOKUP(Mass_Data[[#This Row],[axle group 5]]&amp;Mass_Data[[#This Row],[Mass Scheme]],Axle_Data[Axle Code]&amp;Axle_Data[Mass Scheme],Axle_Data[MDL Maximum Mass (t)],"",0)</f>
        <v/>
      </c>
      <c r="X69" t="str" cm="1">
        <f t="array" ref="X69">_xlfn.XLOOKUP(Mass_Data[[#This Row],[axle group 6]]&amp;Mass_Data[[#This Row],[Mass Scheme]],Axle_Data[Axle Code]&amp;Axle_Data[Mass Scheme],Axle_Data[MDL Maximum Mass (t)],"",0)</f>
        <v/>
      </c>
      <c r="Y69" t="str" cm="1">
        <f t="array" ref="Y69">_xlfn.XLOOKUP(Mass_Data[[#This Row],[axle group 7]]&amp;Mass_Data[[#This Row],[Mass Scheme]],Axle_Data[Axle Code]&amp;Axle_Data[Mass Scheme],Axle_Data[MDL Maximum Mass (t)],"",0)</f>
        <v/>
      </c>
      <c r="Z69" s="81">
        <f>SUM(Mass_Data[[#This Row],[MDL axle group 1 mass]:[MDL axle group 7 mass]])</f>
        <v>63</v>
      </c>
      <c r="AA69">
        <f>Mass_Data[[#This Row],[Total (1)]]-Mass_Data[[#This Row],[GCM (t)]]</f>
        <v>0</v>
      </c>
      <c r="AB69" t="str">
        <f>IF(Mass_Data[[#This Row],[Difference between MDL and GCM]]=0,"YES","NO")</f>
        <v>YES</v>
      </c>
      <c r="AC69" s="22">
        <f>IFERROR(IF(Mass_Data[[#This Row],[Check (1)]]="YES",Mass_Data[[#This Row],[MDL axle group 1 mass]],Mass_Data[[#This Row],[MDL axle group 1 mass]]-(Mass_Data[[#This Row],[Difference between MDL and GCM]]*(Mass_Data[[#This Row],[MDL axle group 1 mass]]/Mass_Data[[#This Row],[Total (1)]]))),"")</f>
        <v>6.5</v>
      </c>
      <c r="AD69" s="22">
        <f>IFERROR(IF(Mass_Data[[#This Row],[Check (1)]]="YES",Mass_Data[[#This Row],[MDL axle group 2 mass]],Mass_Data[[#This Row],[MDL axle group 2 mass]]-(Mass_Data[[#This Row],[Difference between MDL and GCM]]*(Mass_Data[[#This Row],[MDL axle group 2 mass]]/Mass_Data[[#This Row],[Total (1)]]))),"")</f>
        <v>17</v>
      </c>
      <c r="AE69" s="22">
        <f>IFERROR(IF(Mass_Data[[#This Row],[Check (1)]]="YES",Mass_Data[[#This Row],[MDL axle group 3 mass]],Mass_Data[[#This Row],[MDL axle group 3 mass]]-(Mass_Data[[#This Row],[Difference between MDL and GCM]]*(Mass_Data[[#This Row],[MDL axle group 3 mass]]/Mass_Data[[#This Row],[Total (1)]]))),"")</f>
        <v>22.5</v>
      </c>
      <c r="AF69" s="22">
        <f>IFERROR(IF(Mass_Data[[#This Row],[Check (1)]]="YES",Mass_Data[[#This Row],[MDL axle group 4 mass]],Mass_Data[[#This Row],[MDL axle group 4 mass]]-(Mass_Data[[#This Row],[Difference between MDL and GCM]]*(Mass_Data[[#This Row],[MDL axle group 4 mass]]/Mass_Data[[#This Row],[Total (1)]]))),"")</f>
        <v>17</v>
      </c>
      <c r="AG69" s="22" t="str">
        <f>IFERROR(IF(Mass_Data[[#This Row],[Check (1)]]="YES",Mass_Data[[#This Row],[MDL axle group 5 mass]],Mass_Data[[#This Row],[MDL axle group 5 mass]]-(Mass_Data[[#This Row],[Difference between MDL and GCM]]*(Mass_Data[[#This Row],[MDL axle group 5 mass]]/Mass_Data[[#This Row],[Total (1)]]))),"")</f>
        <v/>
      </c>
      <c r="AH69" s="22" t="str">
        <f>IFERROR(IF(Mass_Data[[#This Row],[Check (1)]]="YES",Mass_Data[[#This Row],[MDL axle group 6 mass]],Mass_Data[[#This Row],[MDL axle group 6 mass]]-(Mass_Data[[#This Row],[Difference between MDL and GCM]]*(Mass_Data[[#This Row],[MDL axle group 6 mass]]/Mass_Data[[#This Row],[Total (1)]]))),"")</f>
        <v/>
      </c>
      <c r="AI69" s="22" t="str">
        <f>IFERROR(IF(Mass_Data[[#This Row],[Check (1)]]="YES",Mass_Data[[#This Row],[MDL axle group 7 mass]],Mass_Data[[#This Row],[MDL axle group 7 mass]]-(Mass_Data[[#This Row],[Difference between MDL and GCM]]*(Mass_Data[[#This Row],[MDL axle group 7 mass]]/Mass_Data[[#This Row],[Total (1)]]))),"")</f>
        <v/>
      </c>
      <c r="AJ69" s="81">
        <f>SUM(Mass_Data[[#This Row],[Corrected axle group 1 mass]:[Corrected axle group 7 mass]])</f>
        <v>63</v>
      </c>
      <c r="AK69">
        <f>Mass_Data[[#This Row],[Total (2)]]-Mass_Data[[#This Row],[GCM (t)]]</f>
        <v>0</v>
      </c>
      <c r="AL69" s="22" t="str">
        <f>IF(Mass_Data[[#This Row],[Difference between MDL and corrected axle masses]]=0,"YES","NO")</f>
        <v>YES</v>
      </c>
    </row>
    <row r="70" spans="3:38" x14ac:dyDescent="0.35">
      <c r="C70" s="10" t="str">
        <f t="shared" si="1"/>
        <v>PBS - 3-axle prime mover B-double (3-3) (GML): 2</v>
      </c>
      <c r="D70" s="10" t="s">
        <v>183</v>
      </c>
      <c r="E70" s="10" t="s">
        <v>147</v>
      </c>
      <c r="F70" s="10" t="s">
        <v>18</v>
      </c>
      <c r="G70" s="10" t="s">
        <v>4</v>
      </c>
      <c r="H70" t="s">
        <v>62</v>
      </c>
      <c r="I70" s="9">
        <v>63</v>
      </c>
      <c r="J70" s="14">
        <v>37.780936993026025</v>
      </c>
      <c r="K70" s="14">
        <f>Mass_Data[[#This Row],[GCM (t)]]-Mass_Data[[#This Row],[Payload (t)]]</f>
        <v>25.219063006973975</v>
      </c>
      <c r="L70" t="s">
        <v>8</v>
      </c>
      <c r="M70" t="s">
        <v>9</v>
      </c>
      <c r="N70" t="s">
        <v>10</v>
      </c>
      <c r="O70" t="s">
        <v>10</v>
      </c>
      <c r="P70">
        <v>0</v>
      </c>
      <c r="Q70">
        <v>0</v>
      </c>
      <c r="R70">
        <v>0</v>
      </c>
      <c r="S70" cm="1">
        <f t="array" ref="S70">_xlfn.XLOOKUP(Mass_Data[[#This Row],[axle group 1]]&amp;Mass_Data[[#This Row],[Mass Scheme]],Axle_Data[Axle Code]&amp;Axle_Data[Mass Scheme],Axle_Data[MDL Maximum Mass (t)],"",0)</f>
        <v>6.5</v>
      </c>
      <c r="T70" cm="1">
        <f t="array" ref="T70">_xlfn.XLOOKUP(Mass_Data[[#This Row],[axle group 2]]&amp;Mass_Data[[#This Row],[Mass Scheme]],Axle_Data[Axle Code]&amp;Axle_Data[Mass Scheme],Axle_Data[MDL Maximum Mass (t)],"",0)</f>
        <v>16.5</v>
      </c>
      <c r="U70" cm="1">
        <f t="array" ref="U70">_xlfn.XLOOKUP(Mass_Data[[#This Row],[axle group 3]]&amp;Mass_Data[[#This Row],[Mass Scheme]],Axle_Data[Axle Code]&amp;Axle_Data[Mass Scheme],Axle_Data[MDL Maximum Mass (t)],"",0)</f>
        <v>20</v>
      </c>
      <c r="V70" cm="1">
        <f t="array" ref="V70">_xlfn.XLOOKUP(Mass_Data[[#This Row],[axle group 4]]&amp;Mass_Data[[#This Row],[Mass Scheme]],Axle_Data[Axle Code]&amp;Axle_Data[Mass Scheme],Axle_Data[MDL Maximum Mass (t)],"",0)</f>
        <v>20</v>
      </c>
      <c r="W70" t="str" cm="1">
        <f t="array" ref="W70">_xlfn.XLOOKUP(Mass_Data[[#This Row],[axle group 5]]&amp;Mass_Data[[#This Row],[Mass Scheme]],Axle_Data[Axle Code]&amp;Axle_Data[Mass Scheme],Axle_Data[MDL Maximum Mass (t)],"",0)</f>
        <v/>
      </c>
      <c r="X70" t="str" cm="1">
        <f t="array" ref="X70">_xlfn.XLOOKUP(Mass_Data[[#This Row],[axle group 6]]&amp;Mass_Data[[#This Row],[Mass Scheme]],Axle_Data[Axle Code]&amp;Axle_Data[Mass Scheme],Axle_Data[MDL Maximum Mass (t)],"",0)</f>
        <v/>
      </c>
      <c r="Y70" t="str" cm="1">
        <f t="array" ref="Y70">_xlfn.XLOOKUP(Mass_Data[[#This Row],[axle group 7]]&amp;Mass_Data[[#This Row],[Mass Scheme]],Axle_Data[Axle Code]&amp;Axle_Data[Mass Scheme],Axle_Data[MDL Maximum Mass (t)],"",0)</f>
        <v/>
      </c>
      <c r="Z70" s="81">
        <f>SUM(Mass_Data[[#This Row],[MDL axle group 1 mass]:[MDL axle group 7 mass]])</f>
        <v>63</v>
      </c>
      <c r="AA70">
        <f>Mass_Data[[#This Row],[Total (1)]]-Mass_Data[[#This Row],[GCM (t)]]</f>
        <v>0</v>
      </c>
      <c r="AB70" t="str">
        <f>IF(Mass_Data[[#This Row],[Difference between MDL and GCM]]=0,"YES","NO")</f>
        <v>YES</v>
      </c>
      <c r="AC70" s="22">
        <f>IFERROR(IF(Mass_Data[[#This Row],[Check (1)]]="YES",Mass_Data[[#This Row],[MDL axle group 1 mass]],Mass_Data[[#This Row],[MDL axle group 1 mass]]-(Mass_Data[[#This Row],[Difference between MDL and GCM]]*(Mass_Data[[#This Row],[MDL axle group 1 mass]]/Mass_Data[[#This Row],[Total (1)]]))),"")</f>
        <v>6.5</v>
      </c>
      <c r="AD70" s="22">
        <f>IFERROR(IF(Mass_Data[[#This Row],[Check (1)]]="YES",Mass_Data[[#This Row],[MDL axle group 2 mass]],Mass_Data[[#This Row],[MDL axle group 2 mass]]-(Mass_Data[[#This Row],[Difference between MDL and GCM]]*(Mass_Data[[#This Row],[MDL axle group 2 mass]]/Mass_Data[[#This Row],[Total (1)]]))),"")</f>
        <v>16.5</v>
      </c>
      <c r="AE70" s="22">
        <f>IFERROR(IF(Mass_Data[[#This Row],[Check (1)]]="YES",Mass_Data[[#This Row],[MDL axle group 3 mass]],Mass_Data[[#This Row],[MDL axle group 3 mass]]-(Mass_Data[[#This Row],[Difference between MDL and GCM]]*(Mass_Data[[#This Row],[MDL axle group 3 mass]]/Mass_Data[[#This Row],[Total (1)]]))),"")</f>
        <v>20</v>
      </c>
      <c r="AF70" s="22">
        <f>IFERROR(IF(Mass_Data[[#This Row],[Check (1)]]="YES",Mass_Data[[#This Row],[MDL axle group 4 mass]],Mass_Data[[#This Row],[MDL axle group 4 mass]]-(Mass_Data[[#This Row],[Difference between MDL and GCM]]*(Mass_Data[[#This Row],[MDL axle group 4 mass]]/Mass_Data[[#This Row],[Total (1)]]))),"")</f>
        <v>20</v>
      </c>
      <c r="AG70" s="22" t="str">
        <f>IFERROR(IF(Mass_Data[[#This Row],[Check (1)]]="YES",Mass_Data[[#This Row],[MDL axle group 5 mass]],Mass_Data[[#This Row],[MDL axle group 5 mass]]-(Mass_Data[[#This Row],[Difference between MDL and GCM]]*(Mass_Data[[#This Row],[MDL axle group 5 mass]]/Mass_Data[[#This Row],[Total (1)]]))),"")</f>
        <v/>
      </c>
      <c r="AH70" s="22" t="str">
        <f>IFERROR(IF(Mass_Data[[#This Row],[Check (1)]]="YES",Mass_Data[[#This Row],[MDL axle group 6 mass]],Mass_Data[[#This Row],[MDL axle group 6 mass]]-(Mass_Data[[#This Row],[Difference between MDL and GCM]]*(Mass_Data[[#This Row],[MDL axle group 6 mass]]/Mass_Data[[#This Row],[Total (1)]]))),"")</f>
        <v/>
      </c>
      <c r="AI70" s="22" t="str">
        <f>IFERROR(IF(Mass_Data[[#This Row],[Check (1)]]="YES",Mass_Data[[#This Row],[MDL axle group 7 mass]],Mass_Data[[#This Row],[MDL axle group 7 mass]]-(Mass_Data[[#This Row],[Difference between MDL and GCM]]*(Mass_Data[[#This Row],[MDL axle group 7 mass]]/Mass_Data[[#This Row],[Total (1)]]))),"")</f>
        <v/>
      </c>
      <c r="AJ70" s="81">
        <f>SUM(Mass_Data[[#This Row],[Corrected axle group 1 mass]:[Corrected axle group 7 mass]])</f>
        <v>63</v>
      </c>
      <c r="AK70">
        <f>Mass_Data[[#This Row],[Total (2)]]-Mass_Data[[#This Row],[GCM (t)]]</f>
        <v>0</v>
      </c>
      <c r="AL70" s="22" t="str">
        <f>IF(Mass_Data[[#This Row],[Difference between MDL and corrected axle masses]]=0,"YES","NO")</f>
        <v>YES</v>
      </c>
    </row>
    <row r="71" spans="3:38" x14ac:dyDescent="0.35">
      <c r="C71" s="10" t="str">
        <f t="shared" si="1"/>
        <v>PBS - 3-axle prime mover B-double (3-3) (CML): 2</v>
      </c>
      <c r="D71" s="10" t="s">
        <v>183</v>
      </c>
      <c r="E71" s="10" t="s">
        <v>147</v>
      </c>
      <c r="F71" s="10" t="s">
        <v>20</v>
      </c>
      <c r="G71" s="10" t="s">
        <v>4</v>
      </c>
      <c r="H71" t="s">
        <v>62</v>
      </c>
      <c r="I71" s="9">
        <v>65</v>
      </c>
      <c r="J71" s="14">
        <v>39.780936993026025</v>
      </c>
      <c r="K71" s="14">
        <f>Mass_Data[[#This Row],[GCM (t)]]-Mass_Data[[#This Row],[Payload (t)]]</f>
        <v>25.219063006973975</v>
      </c>
      <c r="L71" t="s">
        <v>8</v>
      </c>
      <c r="M71" t="s">
        <v>9</v>
      </c>
      <c r="N71" t="s">
        <v>10</v>
      </c>
      <c r="O71" t="s">
        <v>10</v>
      </c>
      <c r="P71">
        <v>0</v>
      </c>
      <c r="Q71">
        <v>0</v>
      </c>
      <c r="R71">
        <v>0</v>
      </c>
      <c r="S71" cm="1">
        <f t="array" ref="S71">_xlfn.XLOOKUP(Mass_Data[[#This Row],[axle group 1]]&amp;Mass_Data[[#This Row],[Mass Scheme]],Axle_Data[Axle Code]&amp;Axle_Data[Mass Scheme],Axle_Data[MDL Maximum Mass (t)],"",0)</f>
        <v>6.5</v>
      </c>
      <c r="T71" cm="1">
        <f t="array" ref="T71">_xlfn.XLOOKUP(Mass_Data[[#This Row],[axle group 2]]&amp;Mass_Data[[#This Row],[Mass Scheme]],Axle_Data[Axle Code]&amp;Axle_Data[Mass Scheme],Axle_Data[MDL Maximum Mass (t)],"",0)</f>
        <v>17</v>
      </c>
      <c r="U71" cm="1">
        <f t="array" ref="U71">_xlfn.XLOOKUP(Mass_Data[[#This Row],[axle group 3]]&amp;Mass_Data[[#This Row],[Mass Scheme]],Axle_Data[Axle Code]&amp;Axle_Data[Mass Scheme],Axle_Data[MDL Maximum Mass (t)],"",0)</f>
        <v>21</v>
      </c>
      <c r="V71" cm="1">
        <f t="array" ref="V71">_xlfn.XLOOKUP(Mass_Data[[#This Row],[axle group 4]]&amp;Mass_Data[[#This Row],[Mass Scheme]],Axle_Data[Axle Code]&amp;Axle_Data[Mass Scheme],Axle_Data[MDL Maximum Mass (t)],"",0)</f>
        <v>21</v>
      </c>
      <c r="W71" t="str" cm="1">
        <f t="array" ref="W71">_xlfn.XLOOKUP(Mass_Data[[#This Row],[axle group 5]]&amp;Mass_Data[[#This Row],[Mass Scheme]],Axle_Data[Axle Code]&amp;Axle_Data[Mass Scheme],Axle_Data[MDL Maximum Mass (t)],"",0)</f>
        <v/>
      </c>
      <c r="X71" t="str" cm="1">
        <f t="array" ref="X71">_xlfn.XLOOKUP(Mass_Data[[#This Row],[axle group 6]]&amp;Mass_Data[[#This Row],[Mass Scheme]],Axle_Data[Axle Code]&amp;Axle_Data[Mass Scheme],Axle_Data[MDL Maximum Mass (t)],"",0)</f>
        <v/>
      </c>
      <c r="Y71" t="str" cm="1">
        <f t="array" ref="Y71">_xlfn.XLOOKUP(Mass_Data[[#This Row],[axle group 7]]&amp;Mass_Data[[#This Row],[Mass Scheme]],Axle_Data[Axle Code]&amp;Axle_Data[Mass Scheme],Axle_Data[MDL Maximum Mass (t)],"",0)</f>
        <v/>
      </c>
      <c r="Z71" s="81">
        <f>SUM(Mass_Data[[#This Row],[MDL axle group 1 mass]:[MDL axle group 7 mass]])</f>
        <v>65.5</v>
      </c>
      <c r="AA71">
        <f>Mass_Data[[#This Row],[Total (1)]]-Mass_Data[[#This Row],[GCM (t)]]</f>
        <v>0.5</v>
      </c>
      <c r="AB71" t="str">
        <f>IF(Mass_Data[[#This Row],[Difference between MDL and GCM]]=0,"YES","NO")</f>
        <v>NO</v>
      </c>
      <c r="AC71" s="22">
        <f>IFERROR(IF(Mass_Data[[#This Row],[Check (1)]]="YES",Mass_Data[[#This Row],[MDL axle group 1 mass]],Mass_Data[[#This Row],[MDL axle group 1 mass]]-(Mass_Data[[#This Row],[Difference between MDL and GCM]]*(Mass_Data[[#This Row],[MDL axle group 1 mass]]/Mass_Data[[#This Row],[Total (1)]]))),"")</f>
        <v>6.4503816793893129</v>
      </c>
      <c r="AD71" s="22">
        <f>IFERROR(IF(Mass_Data[[#This Row],[Check (1)]]="YES",Mass_Data[[#This Row],[MDL axle group 2 mass]],Mass_Data[[#This Row],[MDL axle group 2 mass]]-(Mass_Data[[#This Row],[Difference between MDL and GCM]]*(Mass_Data[[#This Row],[MDL axle group 2 mass]]/Mass_Data[[#This Row],[Total (1)]]))),"")</f>
        <v>16.870229007633586</v>
      </c>
      <c r="AE71" s="22">
        <f>IFERROR(IF(Mass_Data[[#This Row],[Check (1)]]="YES",Mass_Data[[#This Row],[MDL axle group 3 mass]],Mass_Data[[#This Row],[MDL axle group 3 mass]]-(Mass_Data[[#This Row],[Difference between MDL and GCM]]*(Mass_Data[[#This Row],[MDL axle group 3 mass]]/Mass_Data[[#This Row],[Total (1)]]))),"")</f>
        <v>20.83969465648855</v>
      </c>
      <c r="AF71" s="22">
        <f>IFERROR(IF(Mass_Data[[#This Row],[Check (1)]]="YES",Mass_Data[[#This Row],[MDL axle group 4 mass]],Mass_Data[[#This Row],[MDL axle group 4 mass]]-(Mass_Data[[#This Row],[Difference between MDL and GCM]]*(Mass_Data[[#This Row],[MDL axle group 4 mass]]/Mass_Data[[#This Row],[Total (1)]]))),"")</f>
        <v>20.83969465648855</v>
      </c>
      <c r="AG71" s="22" t="str">
        <f>IFERROR(IF(Mass_Data[[#This Row],[Check (1)]]="YES",Mass_Data[[#This Row],[MDL axle group 5 mass]],Mass_Data[[#This Row],[MDL axle group 5 mass]]-(Mass_Data[[#This Row],[Difference between MDL and GCM]]*(Mass_Data[[#This Row],[MDL axle group 5 mass]]/Mass_Data[[#This Row],[Total (1)]]))),"")</f>
        <v/>
      </c>
      <c r="AH71" s="22" t="str">
        <f>IFERROR(IF(Mass_Data[[#This Row],[Check (1)]]="YES",Mass_Data[[#This Row],[MDL axle group 6 mass]],Mass_Data[[#This Row],[MDL axle group 6 mass]]-(Mass_Data[[#This Row],[Difference between MDL and GCM]]*(Mass_Data[[#This Row],[MDL axle group 6 mass]]/Mass_Data[[#This Row],[Total (1)]]))),"")</f>
        <v/>
      </c>
      <c r="AI71" s="22" t="str">
        <f>IFERROR(IF(Mass_Data[[#This Row],[Check (1)]]="YES",Mass_Data[[#This Row],[MDL axle group 7 mass]],Mass_Data[[#This Row],[MDL axle group 7 mass]]-(Mass_Data[[#This Row],[Difference between MDL and GCM]]*(Mass_Data[[#This Row],[MDL axle group 7 mass]]/Mass_Data[[#This Row],[Total (1)]]))),"")</f>
        <v/>
      </c>
      <c r="AJ71" s="81">
        <f>SUM(Mass_Data[[#This Row],[Corrected axle group 1 mass]:[Corrected axle group 7 mass]])</f>
        <v>65</v>
      </c>
      <c r="AK71">
        <f>Mass_Data[[#This Row],[Total (2)]]-Mass_Data[[#This Row],[GCM (t)]]</f>
        <v>0</v>
      </c>
      <c r="AL71" s="22" t="str">
        <f>IF(Mass_Data[[#This Row],[Difference between MDL and corrected axle masses]]=0,"YES","NO")</f>
        <v>YES</v>
      </c>
    </row>
    <row r="72" spans="3:38" x14ac:dyDescent="0.35">
      <c r="C72" s="10" t="str">
        <f t="shared" si="1"/>
        <v>PBS - 3-axle prime mover B-double (3-3) (HML): 2</v>
      </c>
      <c r="D72" s="10" t="s">
        <v>183</v>
      </c>
      <c r="E72" s="10" t="s">
        <v>147</v>
      </c>
      <c r="F72" s="10" t="s">
        <v>7</v>
      </c>
      <c r="G72" s="10" t="s">
        <v>4</v>
      </c>
      <c r="H72" t="s">
        <v>62</v>
      </c>
      <c r="I72" s="9">
        <v>68.5</v>
      </c>
      <c r="J72" s="14">
        <v>43.280936993026025</v>
      </c>
      <c r="K72" s="14">
        <f>Mass_Data[[#This Row],[GCM (t)]]-Mass_Data[[#This Row],[Payload (t)]]</f>
        <v>25.219063006973975</v>
      </c>
      <c r="L72" t="s">
        <v>8</v>
      </c>
      <c r="M72" t="s">
        <v>9</v>
      </c>
      <c r="N72" t="s">
        <v>10</v>
      </c>
      <c r="O72" t="s">
        <v>10</v>
      </c>
      <c r="P72">
        <v>0</v>
      </c>
      <c r="Q72">
        <v>0</v>
      </c>
      <c r="R72">
        <v>0</v>
      </c>
      <c r="S72" cm="1">
        <f t="array" ref="S72">_xlfn.XLOOKUP(Mass_Data[[#This Row],[axle group 1]]&amp;Mass_Data[[#This Row],[Mass Scheme]],Axle_Data[Axle Code]&amp;Axle_Data[Mass Scheme],Axle_Data[MDL Maximum Mass (t)],"",0)</f>
        <v>6.5</v>
      </c>
      <c r="T72" cm="1">
        <f t="array" ref="T72">_xlfn.XLOOKUP(Mass_Data[[#This Row],[axle group 2]]&amp;Mass_Data[[#This Row],[Mass Scheme]],Axle_Data[Axle Code]&amp;Axle_Data[Mass Scheme],Axle_Data[MDL Maximum Mass (t)],"",0)</f>
        <v>17</v>
      </c>
      <c r="U72" cm="1">
        <f t="array" ref="U72">_xlfn.XLOOKUP(Mass_Data[[#This Row],[axle group 3]]&amp;Mass_Data[[#This Row],[Mass Scheme]],Axle_Data[Axle Code]&amp;Axle_Data[Mass Scheme],Axle_Data[MDL Maximum Mass (t)],"",0)</f>
        <v>22.5</v>
      </c>
      <c r="V72" cm="1">
        <f t="array" ref="V72">_xlfn.XLOOKUP(Mass_Data[[#This Row],[axle group 4]]&amp;Mass_Data[[#This Row],[Mass Scheme]],Axle_Data[Axle Code]&amp;Axle_Data[Mass Scheme],Axle_Data[MDL Maximum Mass (t)],"",0)</f>
        <v>22.5</v>
      </c>
      <c r="W72" t="str" cm="1">
        <f t="array" ref="W72">_xlfn.XLOOKUP(Mass_Data[[#This Row],[axle group 5]]&amp;Mass_Data[[#This Row],[Mass Scheme]],Axle_Data[Axle Code]&amp;Axle_Data[Mass Scheme],Axle_Data[MDL Maximum Mass (t)],"",0)</f>
        <v/>
      </c>
      <c r="X72" t="str" cm="1">
        <f t="array" ref="X72">_xlfn.XLOOKUP(Mass_Data[[#This Row],[axle group 6]]&amp;Mass_Data[[#This Row],[Mass Scheme]],Axle_Data[Axle Code]&amp;Axle_Data[Mass Scheme],Axle_Data[MDL Maximum Mass (t)],"",0)</f>
        <v/>
      </c>
      <c r="Y72" t="str" cm="1">
        <f t="array" ref="Y72">_xlfn.XLOOKUP(Mass_Data[[#This Row],[axle group 7]]&amp;Mass_Data[[#This Row],[Mass Scheme]],Axle_Data[Axle Code]&amp;Axle_Data[Mass Scheme],Axle_Data[MDL Maximum Mass (t)],"",0)</f>
        <v/>
      </c>
      <c r="Z72" s="81">
        <f>SUM(Mass_Data[[#This Row],[MDL axle group 1 mass]:[MDL axle group 7 mass]])</f>
        <v>68.5</v>
      </c>
      <c r="AA72">
        <f>Mass_Data[[#This Row],[Total (1)]]-Mass_Data[[#This Row],[GCM (t)]]</f>
        <v>0</v>
      </c>
      <c r="AB72" t="str">
        <f>IF(Mass_Data[[#This Row],[Difference between MDL and GCM]]=0,"YES","NO")</f>
        <v>YES</v>
      </c>
      <c r="AC72" s="22">
        <f>IFERROR(IF(Mass_Data[[#This Row],[Check (1)]]="YES",Mass_Data[[#This Row],[MDL axle group 1 mass]],Mass_Data[[#This Row],[MDL axle group 1 mass]]-(Mass_Data[[#This Row],[Difference between MDL and GCM]]*(Mass_Data[[#This Row],[MDL axle group 1 mass]]/Mass_Data[[#This Row],[Total (1)]]))),"")</f>
        <v>6.5</v>
      </c>
      <c r="AD72" s="22">
        <f>IFERROR(IF(Mass_Data[[#This Row],[Check (1)]]="YES",Mass_Data[[#This Row],[MDL axle group 2 mass]],Mass_Data[[#This Row],[MDL axle group 2 mass]]-(Mass_Data[[#This Row],[Difference between MDL and GCM]]*(Mass_Data[[#This Row],[MDL axle group 2 mass]]/Mass_Data[[#This Row],[Total (1)]]))),"")</f>
        <v>17</v>
      </c>
      <c r="AE72" s="22">
        <f>IFERROR(IF(Mass_Data[[#This Row],[Check (1)]]="YES",Mass_Data[[#This Row],[MDL axle group 3 mass]],Mass_Data[[#This Row],[MDL axle group 3 mass]]-(Mass_Data[[#This Row],[Difference between MDL and GCM]]*(Mass_Data[[#This Row],[MDL axle group 3 mass]]/Mass_Data[[#This Row],[Total (1)]]))),"")</f>
        <v>22.5</v>
      </c>
      <c r="AF72" s="22">
        <f>IFERROR(IF(Mass_Data[[#This Row],[Check (1)]]="YES",Mass_Data[[#This Row],[MDL axle group 4 mass]],Mass_Data[[#This Row],[MDL axle group 4 mass]]-(Mass_Data[[#This Row],[Difference between MDL and GCM]]*(Mass_Data[[#This Row],[MDL axle group 4 mass]]/Mass_Data[[#This Row],[Total (1)]]))),"")</f>
        <v>22.5</v>
      </c>
      <c r="AG72" s="22" t="str">
        <f>IFERROR(IF(Mass_Data[[#This Row],[Check (1)]]="YES",Mass_Data[[#This Row],[MDL axle group 5 mass]],Mass_Data[[#This Row],[MDL axle group 5 mass]]-(Mass_Data[[#This Row],[Difference between MDL and GCM]]*(Mass_Data[[#This Row],[MDL axle group 5 mass]]/Mass_Data[[#This Row],[Total (1)]]))),"")</f>
        <v/>
      </c>
      <c r="AH72" s="22" t="str">
        <f>IFERROR(IF(Mass_Data[[#This Row],[Check (1)]]="YES",Mass_Data[[#This Row],[MDL axle group 6 mass]],Mass_Data[[#This Row],[MDL axle group 6 mass]]-(Mass_Data[[#This Row],[Difference between MDL and GCM]]*(Mass_Data[[#This Row],[MDL axle group 6 mass]]/Mass_Data[[#This Row],[Total (1)]]))),"")</f>
        <v/>
      </c>
      <c r="AI72" s="22" t="str">
        <f>IFERROR(IF(Mass_Data[[#This Row],[Check (1)]]="YES",Mass_Data[[#This Row],[MDL axle group 7 mass]],Mass_Data[[#This Row],[MDL axle group 7 mass]]-(Mass_Data[[#This Row],[Difference between MDL and GCM]]*(Mass_Data[[#This Row],[MDL axle group 7 mass]]/Mass_Data[[#This Row],[Total (1)]]))),"")</f>
        <v/>
      </c>
      <c r="AJ72" s="81">
        <f>SUM(Mass_Data[[#This Row],[Corrected axle group 1 mass]:[Corrected axle group 7 mass]])</f>
        <v>68.5</v>
      </c>
      <c r="AK72">
        <f>Mass_Data[[#This Row],[Total (2)]]-Mass_Data[[#This Row],[GCM (t)]]</f>
        <v>0</v>
      </c>
      <c r="AL72" s="22" t="str">
        <f>IF(Mass_Data[[#This Row],[Difference between MDL and corrected axle masses]]=0,"YES","NO")</f>
        <v>YES</v>
      </c>
    </row>
    <row r="73" spans="3:38" x14ac:dyDescent="0.35">
      <c r="C73" s="10" t="str">
        <f t="shared" si="1"/>
        <v>PBS - 3-axle prime mover B-double (3-3) (GML): 3</v>
      </c>
      <c r="D73" s="10" t="s">
        <v>183</v>
      </c>
      <c r="E73" s="10" t="s">
        <v>147</v>
      </c>
      <c r="F73" s="10" t="s">
        <v>18</v>
      </c>
      <c r="G73" s="10" t="s">
        <v>5</v>
      </c>
      <c r="H73" t="s">
        <v>62</v>
      </c>
      <c r="I73" s="9">
        <v>63</v>
      </c>
      <c r="J73" s="14">
        <v>37.780936993026025</v>
      </c>
      <c r="K73" s="14">
        <f>Mass_Data[[#This Row],[GCM (t)]]-Mass_Data[[#This Row],[Payload (t)]]</f>
        <v>25.219063006973975</v>
      </c>
      <c r="L73" t="s">
        <v>8</v>
      </c>
      <c r="M73" t="s">
        <v>9</v>
      </c>
      <c r="N73" t="s">
        <v>10</v>
      </c>
      <c r="O73" t="s">
        <v>10</v>
      </c>
      <c r="P73">
        <v>0</v>
      </c>
      <c r="Q73">
        <v>0</v>
      </c>
      <c r="R73">
        <v>0</v>
      </c>
      <c r="S73" cm="1">
        <f t="array" ref="S73">_xlfn.XLOOKUP(Mass_Data[[#This Row],[axle group 1]]&amp;Mass_Data[[#This Row],[Mass Scheme]],Axle_Data[Axle Code]&amp;Axle_Data[Mass Scheme],Axle_Data[MDL Maximum Mass (t)],"",0)</f>
        <v>6.5</v>
      </c>
      <c r="T73" cm="1">
        <f t="array" ref="T73">_xlfn.XLOOKUP(Mass_Data[[#This Row],[axle group 2]]&amp;Mass_Data[[#This Row],[Mass Scheme]],Axle_Data[Axle Code]&amp;Axle_Data[Mass Scheme],Axle_Data[MDL Maximum Mass (t)],"",0)</f>
        <v>16.5</v>
      </c>
      <c r="U73" cm="1">
        <f t="array" ref="U73">_xlfn.XLOOKUP(Mass_Data[[#This Row],[axle group 3]]&amp;Mass_Data[[#This Row],[Mass Scheme]],Axle_Data[Axle Code]&amp;Axle_Data[Mass Scheme],Axle_Data[MDL Maximum Mass (t)],"",0)</f>
        <v>20</v>
      </c>
      <c r="V73" cm="1">
        <f t="array" ref="V73">_xlfn.XLOOKUP(Mass_Data[[#This Row],[axle group 4]]&amp;Mass_Data[[#This Row],[Mass Scheme]],Axle_Data[Axle Code]&amp;Axle_Data[Mass Scheme],Axle_Data[MDL Maximum Mass (t)],"",0)</f>
        <v>20</v>
      </c>
      <c r="W73" t="str" cm="1">
        <f t="array" ref="W73">_xlfn.XLOOKUP(Mass_Data[[#This Row],[axle group 5]]&amp;Mass_Data[[#This Row],[Mass Scheme]],Axle_Data[Axle Code]&amp;Axle_Data[Mass Scheme],Axle_Data[MDL Maximum Mass (t)],"",0)</f>
        <v/>
      </c>
      <c r="X73" t="str" cm="1">
        <f t="array" ref="X73">_xlfn.XLOOKUP(Mass_Data[[#This Row],[axle group 6]]&amp;Mass_Data[[#This Row],[Mass Scheme]],Axle_Data[Axle Code]&amp;Axle_Data[Mass Scheme],Axle_Data[MDL Maximum Mass (t)],"",0)</f>
        <v/>
      </c>
      <c r="Y73" t="str" cm="1">
        <f t="array" ref="Y73">_xlfn.XLOOKUP(Mass_Data[[#This Row],[axle group 7]]&amp;Mass_Data[[#This Row],[Mass Scheme]],Axle_Data[Axle Code]&amp;Axle_Data[Mass Scheme],Axle_Data[MDL Maximum Mass (t)],"",0)</f>
        <v/>
      </c>
      <c r="Z73" s="81">
        <f>SUM(Mass_Data[[#This Row],[MDL axle group 1 mass]:[MDL axle group 7 mass]])</f>
        <v>63</v>
      </c>
      <c r="AA73">
        <f>Mass_Data[[#This Row],[Total (1)]]-Mass_Data[[#This Row],[GCM (t)]]</f>
        <v>0</v>
      </c>
      <c r="AB73" t="str">
        <f>IF(Mass_Data[[#This Row],[Difference between MDL and GCM]]=0,"YES","NO")</f>
        <v>YES</v>
      </c>
      <c r="AC73" s="22">
        <f>IFERROR(IF(Mass_Data[[#This Row],[Check (1)]]="YES",Mass_Data[[#This Row],[MDL axle group 1 mass]],Mass_Data[[#This Row],[MDL axle group 1 mass]]-(Mass_Data[[#This Row],[Difference between MDL and GCM]]*(Mass_Data[[#This Row],[MDL axle group 1 mass]]/Mass_Data[[#This Row],[Total (1)]]))),"")</f>
        <v>6.5</v>
      </c>
      <c r="AD73" s="22">
        <f>IFERROR(IF(Mass_Data[[#This Row],[Check (1)]]="YES",Mass_Data[[#This Row],[MDL axle group 2 mass]],Mass_Data[[#This Row],[MDL axle group 2 mass]]-(Mass_Data[[#This Row],[Difference between MDL and GCM]]*(Mass_Data[[#This Row],[MDL axle group 2 mass]]/Mass_Data[[#This Row],[Total (1)]]))),"")</f>
        <v>16.5</v>
      </c>
      <c r="AE73" s="22">
        <f>IFERROR(IF(Mass_Data[[#This Row],[Check (1)]]="YES",Mass_Data[[#This Row],[MDL axle group 3 mass]],Mass_Data[[#This Row],[MDL axle group 3 mass]]-(Mass_Data[[#This Row],[Difference between MDL and GCM]]*(Mass_Data[[#This Row],[MDL axle group 3 mass]]/Mass_Data[[#This Row],[Total (1)]]))),"")</f>
        <v>20</v>
      </c>
      <c r="AF73" s="22">
        <f>IFERROR(IF(Mass_Data[[#This Row],[Check (1)]]="YES",Mass_Data[[#This Row],[MDL axle group 4 mass]],Mass_Data[[#This Row],[MDL axle group 4 mass]]-(Mass_Data[[#This Row],[Difference between MDL and GCM]]*(Mass_Data[[#This Row],[MDL axle group 4 mass]]/Mass_Data[[#This Row],[Total (1)]]))),"")</f>
        <v>20</v>
      </c>
      <c r="AG73" s="22" t="str">
        <f>IFERROR(IF(Mass_Data[[#This Row],[Check (1)]]="YES",Mass_Data[[#This Row],[MDL axle group 5 mass]],Mass_Data[[#This Row],[MDL axle group 5 mass]]-(Mass_Data[[#This Row],[Difference between MDL and GCM]]*(Mass_Data[[#This Row],[MDL axle group 5 mass]]/Mass_Data[[#This Row],[Total (1)]]))),"")</f>
        <v/>
      </c>
      <c r="AH73" s="22" t="str">
        <f>IFERROR(IF(Mass_Data[[#This Row],[Check (1)]]="YES",Mass_Data[[#This Row],[MDL axle group 6 mass]],Mass_Data[[#This Row],[MDL axle group 6 mass]]-(Mass_Data[[#This Row],[Difference between MDL and GCM]]*(Mass_Data[[#This Row],[MDL axle group 6 mass]]/Mass_Data[[#This Row],[Total (1)]]))),"")</f>
        <v/>
      </c>
      <c r="AI73" s="22" t="str">
        <f>IFERROR(IF(Mass_Data[[#This Row],[Check (1)]]="YES",Mass_Data[[#This Row],[MDL axle group 7 mass]],Mass_Data[[#This Row],[MDL axle group 7 mass]]-(Mass_Data[[#This Row],[Difference between MDL and GCM]]*(Mass_Data[[#This Row],[MDL axle group 7 mass]]/Mass_Data[[#This Row],[Total (1)]]))),"")</f>
        <v/>
      </c>
      <c r="AJ73" s="81">
        <f>SUM(Mass_Data[[#This Row],[Corrected axle group 1 mass]:[Corrected axle group 7 mass]])</f>
        <v>63</v>
      </c>
      <c r="AK73">
        <f>Mass_Data[[#This Row],[Total (2)]]-Mass_Data[[#This Row],[GCM (t)]]</f>
        <v>0</v>
      </c>
      <c r="AL73" s="22" t="str">
        <f>IF(Mass_Data[[#This Row],[Difference between MDL and corrected axle masses]]=0,"YES","NO")</f>
        <v>YES</v>
      </c>
    </row>
    <row r="74" spans="3:38" x14ac:dyDescent="0.35">
      <c r="C74" s="10" t="str">
        <f t="shared" si="1"/>
        <v>PBS - 3-axle prime mover B-double (3-3) (CML): 3</v>
      </c>
      <c r="D74" s="10" t="s">
        <v>183</v>
      </c>
      <c r="E74" s="10" t="s">
        <v>147</v>
      </c>
      <c r="F74" s="10" t="s">
        <v>20</v>
      </c>
      <c r="G74" s="10" t="s">
        <v>5</v>
      </c>
      <c r="H74" t="s">
        <v>62</v>
      </c>
      <c r="I74" s="9">
        <v>65</v>
      </c>
      <c r="J74" s="14">
        <v>39.780936993026025</v>
      </c>
      <c r="K74" s="14">
        <f>Mass_Data[[#This Row],[GCM (t)]]-Mass_Data[[#This Row],[Payload (t)]]</f>
        <v>25.219063006973975</v>
      </c>
      <c r="L74" t="s">
        <v>8</v>
      </c>
      <c r="M74" t="s">
        <v>9</v>
      </c>
      <c r="N74" t="s">
        <v>10</v>
      </c>
      <c r="O74" t="s">
        <v>10</v>
      </c>
      <c r="P74">
        <v>0</v>
      </c>
      <c r="Q74">
        <v>0</v>
      </c>
      <c r="R74">
        <v>0</v>
      </c>
      <c r="S74" cm="1">
        <f t="array" ref="S74">_xlfn.XLOOKUP(Mass_Data[[#This Row],[axle group 1]]&amp;Mass_Data[[#This Row],[Mass Scheme]],Axle_Data[Axle Code]&amp;Axle_Data[Mass Scheme],Axle_Data[MDL Maximum Mass (t)],"",0)</f>
        <v>6.5</v>
      </c>
      <c r="T74" cm="1">
        <f t="array" ref="T74">_xlfn.XLOOKUP(Mass_Data[[#This Row],[axle group 2]]&amp;Mass_Data[[#This Row],[Mass Scheme]],Axle_Data[Axle Code]&amp;Axle_Data[Mass Scheme],Axle_Data[MDL Maximum Mass (t)],"",0)</f>
        <v>17</v>
      </c>
      <c r="U74" cm="1">
        <f t="array" ref="U74">_xlfn.XLOOKUP(Mass_Data[[#This Row],[axle group 3]]&amp;Mass_Data[[#This Row],[Mass Scheme]],Axle_Data[Axle Code]&amp;Axle_Data[Mass Scheme],Axle_Data[MDL Maximum Mass (t)],"",0)</f>
        <v>21</v>
      </c>
      <c r="V74" cm="1">
        <f t="array" ref="V74">_xlfn.XLOOKUP(Mass_Data[[#This Row],[axle group 4]]&amp;Mass_Data[[#This Row],[Mass Scheme]],Axle_Data[Axle Code]&amp;Axle_Data[Mass Scheme],Axle_Data[MDL Maximum Mass (t)],"",0)</f>
        <v>21</v>
      </c>
      <c r="W74" t="str" cm="1">
        <f t="array" ref="W74">_xlfn.XLOOKUP(Mass_Data[[#This Row],[axle group 5]]&amp;Mass_Data[[#This Row],[Mass Scheme]],Axle_Data[Axle Code]&amp;Axle_Data[Mass Scheme],Axle_Data[MDL Maximum Mass (t)],"",0)</f>
        <v/>
      </c>
      <c r="X74" t="str" cm="1">
        <f t="array" ref="X74">_xlfn.XLOOKUP(Mass_Data[[#This Row],[axle group 6]]&amp;Mass_Data[[#This Row],[Mass Scheme]],Axle_Data[Axle Code]&amp;Axle_Data[Mass Scheme],Axle_Data[MDL Maximum Mass (t)],"",0)</f>
        <v/>
      </c>
      <c r="Y74" t="str" cm="1">
        <f t="array" ref="Y74">_xlfn.XLOOKUP(Mass_Data[[#This Row],[axle group 7]]&amp;Mass_Data[[#This Row],[Mass Scheme]],Axle_Data[Axle Code]&amp;Axle_Data[Mass Scheme],Axle_Data[MDL Maximum Mass (t)],"",0)</f>
        <v/>
      </c>
      <c r="Z74" s="81">
        <f>SUM(Mass_Data[[#This Row],[MDL axle group 1 mass]:[MDL axle group 7 mass]])</f>
        <v>65.5</v>
      </c>
      <c r="AA74">
        <f>Mass_Data[[#This Row],[Total (1)]]-Mass_Data[[#This Row],[GCM (t)]]</f>
        <v>0.5</v>
      </c>
      <c r="AB74" t="str">
        <f>IF(Mass_Data[[#This Row],[Difference between MDL and GCM]]=0,"YES","NO")</f>
        <v>NO</v>
      </c>
      <c r="AC74" s="22">
        <f>IFERROR(IF(Mass_Data[[#This Row],[Check (1)]]="YES",Mass_Data[[#This Row],[MDL axle group 1 mass]],Mass_Data[[#This Row],[MDL axle group 1 mass]]-(Mass_Data[[#This Row],[Difference between MDL and GCM]]*(Mass_Data[[#This Row],[MDL axle group 1 mass]]/Mass_Data[[#This Row],[Total (1)]]))),"")</f>
        <v>6.4503816793893129</v>
      </c>
      <c r="AD74" s="22">
        <f>IFERROR(IF(Mass_Data[[#This Row],[Check (1)]]="YES",Mass_Data[[#This Row],[MDL axle group 2 mass]],Mass_Data[[#This Row],[MDL axle group 2 mass]]-(Mass_Data[[#This Row],[Difference between MDL and GCM]]*(Mass_Data[[#This Row],[MDL axle group 2 mass]]/Mass_Data[[#This Row],[Total (1)]]))),"")</f>
        <v>16.870229007633586</v>
      </c>
      <c r="AE74" s="22">
        <f>IFERROR(IF(Mass_Data[[#This Row],[Check (1)]]="YES",Mass_Data[[#This Row],[MDL axle group 3 mass]],Mass_Data[[#This Row],[MDL axle group 3 mass]]-(Mass_Data[[#This Row],[Difference between MDL and GCM]]*(Mass_Data[[#This Row],[MDL axle group 3 mass]]/Mass_Data[[#This Row],[Total (1)]]))),"")</f>
        <v>20.83969465648855</v>
      </c>
      <c r="AF74" s="22">
        <f>IFERROR(IF(Mass_Data[[#This Row],[Check (1)]]="YES",Mass_Data[[#This Row],[MDL axle group 4 mass]],Mass_Data[[#This Row],[MDL axle group 4 mass]]-(Mass_Data[[#This Row],[Difference between MDL and GCM]]*(Mass_Data[[#This Row],[MDL axle group 4 mass]]/Mass_Data[[#This Row],[Total (1)]]))),"")</f>
        <v>20.83969465648855</v>
      </c>
      <c r="AG74" s="22" t="str">
        <f>IFERROR(IF(Mass_Data[[#This Row],[Check (1)]]="YES",Mass_Data[[#This Row],[MDL axle group 5 mass]],Mass_Data[[#This Row],[MDL axle group 5 mass]]-(Mass_Data[[#This Row],[Difference between MDL and GCM]]*(Mass_Data[[#This Row],[MDL axle group 5 mass]]/Mass_Data[[#This Row],[Total (1)]]))),"")</f>
        <v/>
      </c>
      <c r="AH74" s="22" t="str">
        <f>IFERROR(IF(Mass_Data[[#This Row],[Check (1)]]="YES",Mass_Data[[#This Row],[MDL axle group 6 mass]],Mass_Data[[#This Row],[MDL axle group 6 mass]]-(Mass_Data[[#This Row],[Difference between MDL and GCM]]*(Mass_Data[[#This Row],[MDL axle group 6 mass]]/Mass_Data[[#This Row],[Total (1)]]))),"")</f>
        <v/>
      </c>
      <c r="AI74" s="22" t="str">
        <f>IFERROR(IF(Mass_Data[[#This Row],[Check (1)]]="YES",Mass_Data[[#This Row],[MDL axle group 7 mass]],Mass_Data[[#This Row],[MDL axle group 7 mass]]-(Mass_Data[[#This Row],[Difference between MDL and GCM]]*(Mass_Data[[#This Row],[MDL axle group 7 mass]]/Mass_Data[[#This Row],[Total (1)]]))),"")</f>
        <v/>
      </c>
      <c r="AJ74" s="81">
        <f>SUM(Mass_Data[[#This Row],[Corrected axle group 1 mass]:[Corrected axle group 7 mass]])</f>
        <v>65</v>
      </c>
      <c r="AK74">
        <f>Mass_Data[[#This Row],[Total (2)]]-Mass_Data[[#This Row],[GCM (t)]]</f>
        <v>0</v>
      </c>
      <c r="AL74" s="22" t="str">
        <f>IF(Mass_Data[[#This Row],[Difference between MDL and corrected axle masses]]=0,"YES","NO")</f>
        <v>YES</v>
      </c>
    </row>
    <row r="75" spans="3:38" x14ac:dyDescent="0.35">
      <c r="C75" s="10" t="str">
        <f t="shared" si="1"/>
        <v>PBS - 3-axle prime mover B-double (3-3) (HML): 3</v>
      </c>
      <c r="D75" s="10" t="s">
        <v>183</v>
      </c>
      <c r="E75" s="10" t="s">
        <v>147</v>
      </c>
      <c r="F75" s="10" t="s">
        <v>7</v>
      </c>
      <c r="G75" s="10" t="s">
        <v>5</v>
      </c>
      <c r="H75" t="s">
        <v>62</v>
      </c>
      <c r="I75" s="9">
        <v>68.5</v>
      </c>
      <c r="J75" s="14">
        <v>43.280936993026025</v>
      </c>
      <c r="K75" s="14">
        <f>Mass_Data[[#This Row],[GCM (t)]]-Mass_Data[[#This Row],[Payload (t)]]</f>
        <v>25.219063006973975</v>
      </c>
      <c r="L75" t="s">
        <v>8</v>
      </c>
      <c r="M75" t="s">
        <v>9</v>
      </c>
      <c r="N75" t="s">
        <v>10</v>
      </c>
      <c r="O75" t="s">
        <v>10</v>
      </c>
      <c r="P75">
        <v>0</v>
      </c>
      <c r="Q75">
        <v>0</v>
      </c>
      <c r="R75">
        <v>0</v>
      </c>
      <c r="S75" cm="1">
        <f t="array" ref="S75">_xlfn.XLOOKUP(Mass_Data[[#This Row],[axle group 1]]&amp;Mass_Data[[#This Row],[Mass Scheme]],Axle_Data[Axle Code]&amp;Axle_Data[Mass Scheme],Axle_Data[MDL Maximum Mass (t)],"",0)</f>
        <v>6.5</v>
      </c>
      <c r="T75" cm="1">
        <f t="array" ref="T75">_xlfn.XLOOKUP(Mass_Data[[#This Row],[axle group 2]]&amp;Mass_Data[[#This Row],[Mass Scheme]],Axle_Data[Axle Code]&amp;Axle_Data[Mass Scheme],Axle_Data[MDL Maximum Mass (t)],"",0)</f>
        <v>17</v>
      </c>
      <c r="U75" cm="1">
        <f t="array" ref="U75">_xlfn.XLOOKUP(Mass_Data[[#This Row],[axle group 3]]&amp;Mass_Data[[#This Row],[Mass Scheme]],Axle_Data[Axle Code]&amp;Axle_Data[Mass Scheme],Axle_Data[MDL Maximum Mass (t)],"",0)</f>
        <v>22.5</v>
      </c>
      <c r="V75" cm="1">
        <f t="array" ref="V75">_xlfn.XLOOKUP(Mass_Data[[#This Row],[axle group 4]]&amp;Mass_Data[[#This Row],[Mass Scheme]],Axle_Data[Axle Code]&amp;Axle_Data[Mass Scheme],Axle_Data[MDL Maximum Mass (t)],"",0)</f>
        <v>22.5</v>
      </c>
      <c r="W75" t="str" cm="1">
        <f t="array" ref="W75">_xlfn.XLOOKUP(Mass_Data[[#This Row],[axle group 5]]&amp;Mass_Data[[#This Row],[Mass Scheme]],Axle_Data[Axle Code]&amp;Axle_Data[Mass Scheme],Axle_Data[MDL Maximum Mass (t)],"",0)</f>
        <v/>
      </c>
      <c r="X75" t="str" cm="1">
        <f t="array" ref="X75">_xlfn.XLOOKUP(Mass_Data[[#This Row],[axle group 6]]&amp;Mass_Data[[#This Row],[Mass Scheme]],Axle_Data[Axle Code]&amp;Axle_Data[Mass Scheme],Axle_Data[MDL Maximum Mass (t)],"",0)</f>
        <v/>
      </c>
      <c r="Y75" t="str" cm="1">
        <f t="array" ref="Y75">_xlfn.XLOOKUP(Mass_Data[[#This Row],[axle group 7]]&amp;Mass_Data[[#This Row],[Mass Scheme]],Axle_Data[Axle Code]&amp;Axle_Data[Mass Scheme],Axle_Data[MDL Maximum Mass (t)],"",0)</f>
        <v/>
      </c>
      <c r="Z75" s="81">
        <f>SUM(Mass_Data[[#This Row],[MDL axle group 1 mass]:[MDL axle group 7 mass]])</f>
        <v>68.5</v>
      </c>
      <c r="AA75">
        <f>Mass_Data[[#This Row],[Total (1)]]-Mass_Data[[#This Row],[GCM (t)]]</f>
        <v>0</v>
      </c>
      <c r="AB75" t="str">
        <f>IF(Mass_Data[[#This Row],[Difference between MDL and GCM]]=0,"YES","NO")</f>
        <v>YES</v>
      </c>
      <c r="AC75" s="22">
        <f>IFERROR(IF(Mass_Data[[#This Row],[Check (1)]]="YES",Mass_Data[[#This Row],[MDL axle group 1 mass]],Mass_Data[[#This Row],[MDL axle group 1 mass]]-(Mass_Data[[#This Row],[Difference between MDL and GCM]]*(Mass_Data[[#This Row],[MDL axle group 1 mass]]/Mass_Data[[#This Row],[Total (1)]]))),"")</f>
        <v>6.5</v>
      </c>
      <c r="AD75" s="22">
        <f>IFERROR(IF(Mass_Data[[#This Row],[Check (1)]]="YES",Mass_Data[[#This Row],[MDL axle group 2 mass]],Mass_Data[[#This Row],[MDL axle group 2 mass]]-(Mass_Data[[#This Row],[Difference between MDL and GCM]]*(Mass_Data[[#This Row],[MDL axle group 2 mass]]/Mass_Data[[#This Row],[Total (1)]]))),"")</f>
        <v>17</v>
      </c>
      <c r="AE75" s="22">
        <f>IFERROR(IF(Mass_Data[[#This Row],[Check (1)]]="YES",Mass_Data[[#This Row],[MDL axle group 3 mass]],Mass_Data[[#This Row],[MDL axle group 3 mass]]-(Mass_Data[[#This Row],[Difference between MDL and GCM]]*(Mass_Data[[#This Row],[MDL axle group 3 mass]]/Mass_Data[[#This Row],[Total (1)]]))),"")</f>
        <v>22.5</v>
      </c>
      <c r="AF75" s="22">
        <f>IFERROR(IF(Mass_Data[[#This Row],[Check (1)]]="YES",Mass_Data[[#This Row],[MDL axle group 4 mass]],Mass_Data[[#This Row],[MDL axle group 4 mass]]-(Mass_Data[[#This Row],[Difference between MDL and GCM]]*(Mass_Data[[#This Row],[MDL axle group 4 mass]]/Mass_Data[[#This Row],[Total (1)]]))),"")</f>
        <v>22.5</v>
      </c>
      <c r="AG75" s="22" t="str">
        <f>IFERROR(IF(Mass_Data[[#This Row],[Check (1)]]="YES",Mass_Data[[#This Row],[MDL axle group 5 mass]],Mass_Data[[#This Row],[MDL axle group 5 mass]]-(Mass_Data[[#This Row],[Difference between MDL and GCM]]*(Mass_Data[[#This Row],[MDL axle group 5 mass]]/Mass_Data[[#This Row],[Total (1)]]))),"")</f>
        <v/>
      </c>
      <c r="AH75" s="22" t="str">
        <f>IFERROR(IF(Mass_Data[[#This Row],[Check (1)]]="YES",Mass_Data[[#This Row],[MDL axle group 6 mass]],Mass_Data[[#This Row],[MDL axle group 6 mass]]-(Mass_Data[[#This Row],[Difference between MDL and GCM]]*(Mass_Data[[#This Row],[MDL axle group 6 mass]]/Mass_Data[[#This Row],[Total (1)]]))),"")</f>
        <v/>
      </c>
      <c r="AI75" s="22" t="str">
        <f>IFERROR(IF(Mass_Data[[#This Row],[Check (1)]]="YES",Mass_Data[[#This Row],[MDL axle group 7 mass]],Mass_Data[[#This Row],[MDL axle group 7 mass]]-(Mass_Data[[#This Row],[Difference between MDL and GCM]]*(Mass_Data[[#This Row],[MDL axle group 7 mass]]/Mass_Data[[#This Row],[Total (1)]]))),"")</f>
        <v/>
      </c>
      <c r="AJ75" s="81">
        <f>SUM(Mass_Data[[#This Row],[Corrected axle group 1 mass]:[Corrected axle group 7 mass]])</f>
        <v>68.5</v>
      </c>
      <c r="AK75">
        <f>Mass_Data[[#This Row],[Total (2)]]-Mass_Data[[#This Row],[GCM (t)]]</f>
        <v>0</v>
      </c>
      <c r="AL75" s="22" t="str">
        <f>IF(Mass_Data[[#This Row],[Difference between MDL and corrected axle masses]]=0,"YES","NO")</f>
        <v>YES</v>
      </c>
    </row>
    <row r="76" spans="3:38" x14ac:dyDescent="0.35">
      <c r="C76" s="10" t="str">
        <f t="shared" si="1"/>
        <v>PBS - 3-axle prime mover B-double (4-3) (GML): 2</v>
      </c>
      <c r="D76" s="10" t="s">
        <v>181</v>
      </c>
      <c r="E76" s="10" t="s">
        <v>147</v>
      </c>
      <c r="F76" s="10" t="s">
        <v>18</v>
      </c>
      <c r="G76" s="10" t="s">
        <v>4</v>
      </c>
      <c r="H76" t="s">
        <v>65</v>
      </c>
      <c r="I76" s="9">
        <v>63</v>
      </c>
      <c r="J76" s="14">
        <v>36.831591889039885</v>
      </c>
      <c r="K76" s="14">
        <f>Mass_Data[[#This Row],[GCM (t)]]-Mass_Data[[#This Row],[Payload (t)]]</f>
        <v>26.168408110960115</v>
      </c>
      <c r="L76" t="s">
        <v>8</v>
      </c>
      <c r="M76" t="s">
        <v>9</v>
      </c>
      <c r="N76" t="s">
        <v>39</v>
      </c>
      <c r="O76" t="s">
        <v>10</v>
      </c>
      <c r="P76">
        <v>0</v>
      </c>
      <c r="Q76">
        <v>0</v>
      </c>
      <c r="R76">
        <v>0</v>
      </c>
      <c r="S76" cm="1">
        <f t="array" ref="S76">_xlfn.XLOOKUP(Mass_Data[[#This Row],[axle group 1]]&amp;Mass_Data[[#This Row],[Mass Scheme]],Axle_Data[Axle Code]&amp;Axle_Data[Mass Scheme],Axle_Data[MDL Maximum Mass (t)],"",0)</f>
        <v>6.5</v>
      </c>
      <c r="T76" cm="1">
        <f t="array" ref="T76">_xlfn.XLOOKUP(Mass_Data[[#This Row],[axle group 2]]&amp;Mass_Data[[#This Row],[Mass Scheme]],Axle_Data[Axle Code]&amp;Axle_Data[Mass Scheme],Axle_Data[MDL Maximum Mass (t)],"",0)</f>
        <v>16.5</v>
      </c>
      <c r="U76" cm="1">
        <f t="array" ref="U76">_xlfn.XLOOKUP(Mass_Data[[#This Row],[axle group 3]]&amp;Mass_Data[[#This Row],[Mass Scheme]],Axle_Data[Axle Code]&amp;Axle_Data[Mass Scheme],Axle_Data[MDL Maximum Mass (t)],"",0)</f>
        <v>20</v>
      </c>
      <c r="V76" cm="1">
        <f t="array" ref="V76">_xlfn.XLOOKUP(Mass_Data[[#This Row],[axle group 4]]&amp;Mass_Data[[#This Row],[Mass Scheme]],Axle_Data[Axle Code]&amp;Axle_Data[Mass Scheme],Axle_Data[MDL Maximum Mass (t)],"",0)</f>
        <v>20</v>
      </c>
      <c r="W76" t="str" cm="1">
        <f t="array" ref="W76">_xlfn.XLOOKUP(Mass_Data[[#This Row],[axle group 5]]&amp;Mass_Data[[#This Row],[Mass Scheme]],Axle_Data[Axle Code]&amp;Axle_Data[Mass Scheme],Axle_Data[MDL Maximum Mass (t)],"",0)</f>
        <v/>
      </c>
      <c r="X76" t="str" cm="1">
        <f t="array" ref="X76">_xlfn.XLOOKUP(Mass_Data[[#This Row],[axle group 6]]&amp;Mass_Data[[#This Row],[Mass Scheme]],Axle_Data[Axle Code]&amp;Axle_Data[Mass Scheme],Axle_Data[MDL Maximum Mass (t)],"",0)</f>
        <v/>
      </c>
      <c r="Y76" t="str" cm="1">
        <f t="array" ref="Y76">_xlfn.XLOOKUP(Mass_Data[[#This Row],[axle group 7]]&amp;Mass_Data[[#This Row],[Mass Scheme]],Axle_Data[Axle Code]&amp;Axle_Data[Mass Scheme],Axle_Data[MDL Maximum Mass (t)],"",0)</f>
        <v/>
      </c>
      <c r="Z76" s="81">
        <f>SUM(Mass_Data[[#This Row],[MDL axle group 1 mass]:[MDL axle group 7 mass]])</f>
        <v>63</v>
      </c>
      <c r="AA76">
        <f>Mass_Data[[#This Row],[Total (1)]]-Mass_Data[[#This Row],[GCM (t)]]</f>
        <v>0</v>
      </c>
      <c r="AB76" t="str">
        <f>IF(Mass_Data[[#This Row],[Difference between MDL and GCM]]=0,"YES","NO")</f>
        <v>YES</v>
      </c>
      <c r="AC76" s="22">
        <f>IFERROR(IF(Mass_Data[[#This Row],[Check (1)]]="YES",Mass_Data[[#This Row],[MDL axle group 1 mass]],Mass_Data[[#This Row],[MDL axle group 1 mass]]-(Mass_Data[[#This Row],[Difference between MDL and GCM]]*(Mass_Data[[#This Row],[MDL axle group 1 mass]]/Mass_Data[[#This Row],[Total (1)]]))),"")</f>
        <v>6.5</v>
      </c>
      <c r="AD76" s="22">
        <f>IFERROR(IF(Mass_Data[[#This Row],[Check (1)]]="YES",Mass_Data[[#This Row],[MDL axle group 2 mass]],Mass_Data[[#This Row],[MDL axle group 2 mass]]-(Mass_Data[[#This Row],[Difference between MDL and GCM]]*(Mass_Data[[#This Row],[MDL axle group 2 mass]]/Mass_Data[[#This Row],[Total (1)]]))),"")</f>
        <v>16.5</v>
      </c>
      <c r="AE76" s="22">
        <f>IFERROR(IF(Mass_Data[[#This Row],[Check (1)]]="YES",Mass_Data[[#This Row],[MDL axle group 3 mass]],Mass_Data[[#This Row],[MDL axle group 3 mass]]-(Mass_Data[[#This Row],[Difference between MDL and GCM]]*(Mass_Data[[#This Row],[MDL axle group 3 mass]]/Mass_Data[[#This Row],[Total (1)]]))),"")</f>
        <v>20</v>
      </c>
      <c r="AF76" s="22">
        <f>IFERROR(IF(Mass_Data[[#This Row],[Check (1)]]="YES",Mass_Data[[#This Row],[MDL axle group 4 mass]],Mass_Data[[#This Row],[MDL axle group 4 mass]]-(Mass_Data[[#This Row],[Difference between MDL and GCM]]*(Mass_Data[[#This Row],[MDL axle group 4 mass]]/Mass_Data[[#This Row],[Total (1)]]))),"")</f>
        <v>20</v>
      </c>
      <c r="AG76" s="22" t="str">
        <f>IFERROR(IF(Mass_Data[[#This Row],[Check (1)]]="YES",Mass_Data[[#This Row],[MDL axle group 5 mass]],Mass_Data[[#This Row],[MDL axle group 5 mass]]-(Mass_Data[[#This Row],[Difference between MDL and GCM]]*(Mass_Data[[#This Row],[MDL axle group 5 mass]]/Mass_Data[[#This Row],[Total (1)]]))),"")</f>
        <v/>
      </c>
      <c r="AH76" s="22" t="str">
        <f>IFERROR(IF(Mass_Data[[#This Row],[Check (1)]]="YES",Mass_Data[[#This Row],[MDL axle group 6 mass]],Mass_Data[[#This Row],[MDL axle group 6 mass]]-(Mass_Data[[#This Row],[Difference between MDL and GCM]]*(Mass_Data[[#This Row],[MDL axle group 6 mass]]/Mass_Data[[#This Row],[Total (1)]]))),"")</f>
        <v/>
      </c>
      <c r="AI76" s="22" t="str">
        <f>IFERROR(IF(Mass_Data[[#This Row],[Check (1)]]="YES",Mass_Data[[#This Row],[MDL axle group 7 mass]],Mass_Data[[#This Row],[MDL axle group 7 mass]]-(Mass_Data[[#This Row],[Difference between MDL and GCM]]*(Mass_Data[[#This Row],[MDL axle group 7 mass]]/Mass_Data[[#This Row],[Total (1)]]))),"")</f>
        <v/>
      </c>
      <c r="AJ76" s="81">
        <f>SUM(Mass_Data[[#This Row],[Corrected axle group 1 mass]:[Corrected axle group 7 mass]])</f>
        <v>63</v>
      </c>
      <c r="AK76">
        <f>Mass_Data[[#This Row],[Total (2)]]-Mass_Data[[#This Row],[GCM (t)]]</f>
        <v>0</v>
      </c>
      <c r="AL76" s="22" t="str">
        <f>IF(Mass_Data[[#This Row],[Difference between MDL and corrected axle masses]]=0,"YES","NO")</f>
        <v>YES</v>
      </c>
    </row>
    <row r="77" spans="3:38" x14ac:dyDescent="0.35">
      <c r="C77" s="10" t="str">
        <f t="shared" si="1"/>
        <v>PBS - 3-axle prime mover B-double (4-3) (CML): 2</v>
      </c>
      <c r="D77" s="10" t="s">
        <v>181</v>
      </c>
      <c r="E77" s="10" t="s">
        <v>147</v>
      </c>
      <c r="F77" s="10" t="s">
        <v>20</v>
      </c>
      <c r="G77" s="10" t="s">
        <v>4</v>
      </c>
      <c r="H77" t="s">
        <v>65</v>
      </c>
      <c r="I77" s="9">
        <v>65</v>
      </c>
      <c r="J77" s="14">
        <v>38.831591889039885</v>
      </c>
      <c r="K77" s="14">
        <f>Mass_Data[[#This Row],[GCM (t)]]-Mass_Data[[#This Row],[Payload (t)]]</f>
        <v>26.168408110960115</v>
      </c>
      <c r="L77" t="s">
        <v>8</v>
      </c>
      <c r="M77" t="s">
        <v>9</v>
      </c>
      <c r="N77" t="s">
        <v>39</v>
      </c>
      <c r="O77" t="s">
        <v>10</v>
      </c>
      <c r="P77">
        <v>0</v>
      </c>
      <c r="Q77">
        <v>0</v>
      </c>
      <c r="R77">
        <v>0</v>
      </c>
      <c r="S77" cm="1">
        <f t="array" ref="S77">_xlfn.XLOOKUP(Mass_Data[[#This Row],[axle group 1]]&amp;Mass_Data[[#This Row],[Mass Scheme]],Axle_Data[Axle Code]&amp;Axle_Data[Mass Scheme],Axle_Data[MDL Maximum Mass (t)],"",0)</f>
        <v>6.5</v>
      </c>
      <c r="T77" cm="1">
        <f t="array" ref="T77">_xlfn.XLOOKUP(Mass_Data[[#This Row],[axle group 2]]&amp;Mass_Data[[#This Row],[Mass Scheme]],Axle_Data[Axle Code]&amp;Axle_Data[Mass Scheme],Axle_Data[MDL Maximum Mass (t)],"",0)</f>
        <v>17</v>
      </c>
      <c r="U77" cm="1">
        <f t="array" ref="U77">_xlfn.XLOOKUP(Mass_Data[[#This Row],[axle group 3]]&amp;Mass_Data[[#This Row],[Mass Scheme]],Axle_Data[Axle Code]&amp;Axle_Data[Mass Scheme],Axle_Data[MDL Maximum Mass (t)],"",0)</f>
        <v>21</v>
      </c>
      <c r="V77" cm="1">
        <f t="array" ref="V77">_xlfn.XLOOKUP(Mass_Data[[#This Row],[axle group 4]]&amp;Mass_Data[[#This Row],[Mass Scheme]],Axle_Data[Axle Code]&amp;Axle_Data[Mass Scheme],Axle_Data[MDL Maximum Mass (t)],"",0)</f>
        <v>21</v>
      </c>
      <c r="W77" t="str" cm="1">
        <f t="array" ref="W77">_xlfn.XLOOKUP(Mass_Data[[#This Row],[axle group 5]]&amp;Mass_Data[[#This Row],[Mass Scheme]],Axle_Data[Axle Code]&amp;Axle_Data[Mass Scheme],Axle_Data[MDL Maximum Mass (t)],"",0)</f>
        <v/>
      </c>
      <c r="X77" t="str" cm="1">
        <f t="array" ref="X77">_xlfn.XLOOKUP(Mass_Data[[#This Row],[axle group 6]]&amp;Mass_Data[[#This Row],[Mass Scheme]],Axle_Data[Axle Code]&amp;Axle_Data[Mass Scheme],Axle_Data[MDL Maximum Mass (t)],"",0)</f>
        <v/>
      </c>
      <c r="Y77" t="str" cm="1">
        <f t="array" ref="Y77">_xlfn.XLOOKUP(Mass_Data[[#This Row],[axle group 7]]&amp;Mass_Data[[#This Row],[Mass Scheme]],Axle_Data[Axle Code]&amp;Axle_Data[Mass Scheme],Axle_Data[MDL Maximum Mass (t)],"",0)</f>
        <v/>
      </c>
      <c r="Z77" s="81">
        <f>SUM(Mass_Data[[#This Row],[MDL axle group 1 mass]:[MDL axle group 7 mass]])</f>
        <v>65.5</v>
      </c>
      <c r="AA77">
        <f>Mass_Data[[#This Row],[Total (1)]]-Mass_Data[[#This Row],[GCM (t)]]</f>
        <v>0.5</v>
      </c>
      <c r="AB77" t="str">
        <f>IF(Mass_Data[[#This Row],[Difference between MDL and GCM]]=0,"YES","NO")</f>
        <v>NO</v>
      </c>
      <c r="AC77" s="22">
        <f>IFERROR(IF(Mass_Data[[#This Row],[Check (1)]]="YES",Mass_Data[[#This Row],[MDL axle group 1 mass]],Mass_Data[[#This Row],[MDL axle group 1 mass]]-(Mass_Data[[#This Row],[Difference between MDL and GCM]]*(Mass_Data[[#This Row],[MDL axle group 1 mass]]/Mass_Data[[#This Row],[Total (1)]]))),"")</f>
        <v>6.4503816793893129</v>
      </c>
      <c r="AD77" s="22">
        <f>IFERROR(IF(Mass_Data[[#This Row],[Check (1)]]="YES",Mass_Data[[#This Row],[MDL axle group 2 mass]],Mass_Data[[#This Row],[MDL axle group 2 mass]]-(Mass_Data[[#This Row],[Difference between MDL and GCM]]*(Mass_Data[[#This Row],[MDL axle group 2 mass]]/Mass_Data[[#This Row],[Total (1)]]))),"")</f>
        <v>16.870229007633586</v>
      </c>
      <c r="AE77" s="22">
        <f>IFERROR(IF(Mass_Data[[#This Row],[Check (1)]]="YES",Mass_Data[[#This Row],[MDL axle group 3 mass]],Mass_Data[[#This Row],[MDL axle group 3 mass]]-(Mass_Data[[#This Row],[Difference between MDL and GCM]]*(Mass_Data[[#This Row],[MDL axle group 3 mass]]/Mass_Data[[#This Row],[Total (1)]]))),"")</f>
        <v>20.83969465648855</v>
      </c>
      <c r="AF77" s="22">
        <f>IFERROR(IF(Mass_Data[[#This Row],[Check (1)]]="YES",Mass_Data[[#This Row],[MDL axle group 4 mass]],Mass_Data[[#This Row],[MDL axle group 4 mass]]-(Mass_Data[[#This Row],[Difference between MDL and GCM]]*(Mass_Data[[#This Row],[MDL axle group 4 mass]]/Mass_Data[[#This Row],[Total (1)]]))),"")</f>
        <v>20.83969465648855</v>
      </c>
      <c r="AG77" s="22" t="str">
        <f>IFERROR(IF(Mass_Data[[#This Row],[Check (1)]]="YES",Mass_Data[[#This Row],[MDL axle group 5 mass]],Mass_Data[[#This Row],[MDL axle group 5 mass]]-(Mass_Data[[#This Row],[Difference between MDL and GCM]]*(Mass_Data[[#This Row],[MDL axle group 5 mass]]/Mass_Data[[#This Row],[Total (1)]]))),"")</f>
        <v/>
      </c>
      <c r="AH77" s="22" t="str">
        <f>IFERROR(IF(Mass_Data[[#This Row],[Check (1)]]="YES",Mass_Data[[#This Row],[MDL axle group 6 mass]],Mass_Data[[#This Row],[MDL axle group 6 mass]]-(Mass_Data[[#This Row],[Difference between MDL and GCM]]*(Mass_Data[[#This Row],[MDL axle group 6 mass]]/Mass_Data[[#This Row],[Total (1)]]))),"")</f>
        <v/>
      </c>
      <c r="AI77" s="22" t="str">
        <f>IFERROR(IF(Mass_Data[[#This Row],[Check (1)]]="YES",Mass_Data[[#This Row],[MDL axle group 7 mass]],Mass_Data[[#This Row],[MDL axle group 7 mass]]-(Mass_Data[[#This Row],[Difference between MDL and GCM]]*(Mass_Data[[#This Row],[MDL axle group 7 mass]]/Mass_Data[[#This Row],[Total (1)]]))),"")</f>
        <v/>
      </c>
      <c r="AJ77" s="81">
        <f>SUM(Mass_Data[[#This Row],[Corrected axle group 1 mass]:[Corrected axle group 7 mass]])</f>
        <v>65</v>
      </c>
      <c r="AK77">
        <f>Mass_Data[[#This Row],[Total (2)]]-Mass_Data[[#This Row],[GCM (t)]]</f>
        <v>0</v>
      </c>
      <c r="AL77" s="22" t="str">
        <f>IF(Mass_Data[[#This Row],[Difference between MDL and corrected axle masses]]=0,"YES","NO")</f>
        <v>YES</v>
      </c>
    </row>
    <row r="78" spans="3:38" x14ac:dyDescent="0.35">
      <c r="C78" s="10" t="str">
        <f t="shared" si="1"/>
        <v>PBS - 3-axle prime mover B-double (4-3) (HML): 2</v>
      </c>
      <c r="D78" s="10" t="s">
        <v>181</v>
      </c>
      <c r="E78" s="10" t="s">
        <v>147</v>
      </c>
      <c r="F78" s="10" t="s">
        <v>7</v>
      </c>
      <c r="G78" s="10" t="s">
        <v>4</v>
      </c>
      <c r="H78" t="s">
        <v>65</v>
      </c>
      <c r="I78" s="9">
        <v>73</v>
      </c>
      <c r="J78" s="14">
        <v>46.831591889039885</v>
      </c>
      <c r="K78" s="14">
        <f>Mass_Data[[#This Row],[GCM (t)]]-Mass_Data[[#This Row],[Payload (t)]]</f>
        <v>26.168408110960115</v>
      </c>
      <c r="L78" t="s">
        <v>8</v>
      </c>
      <c r="M78" t="s">
        <v>9</v>
      </c>
      <c r="N78" t="s">
        <v>39</v>
      </c>
      <c r="O78" t="s">
        <v>10</v>
      </c>
      <c r="P78">
        <v>0</v>
      </c>
      <c r="Q78">
        <v>0</v>
      </c>
      <c r="R78">
        <v>0</v>
      </c>
      <c r="S78" cm="1">
        <f t="array" ref="S78">_xlfn.XLOOKUP(Mass_Data[[#This Row],[axle group 1]]&amp;Mass_Data[[#This Row],[Mass Scheme]],Axle_Data[Axle Code]&amp;Axle_Data[Mass Scheme],Axle_Data[MDL Maximum Mass (t)],"",0)</f>
        <v>6.5</v>
      </c>
      <c r="T78" cm="1">
        <f t="array" ref="T78">_xlfn.XLOOKUP(Mass_Data[[#This Row],[axle group 2]]&amp;Mass_Data[[#This Row],[Mass Scheme]],Axle_Data[Axle Code]&amp;Axle_Data[Mass Scheme],Axle_Data[MDL Maximum Mass (t)],"",0)</f>
        <v>17</v>
      </c>
      <c r="U78" cm="1">
        <f t="array" ref="U78">_xlfn.XLOOKUP(Mass_Data[[#This Row],[axle group 3]]&amp;Mass_Data[[#This Row],[Mass Scheme]],Axle_Data[Axle Code]&amp;Axle_Data[Mass Scheme],Axle_Data[MDL Maximum Mass (t)],"",0)</f>
        <v>27</v>
      </c>
      <c r="V78" cm="1">
        <f t="array" ref="V78">_xlfn.XLOOKUP(Mass_Data[[#This Row],[axle group 4]]&amp;Mass_Data[[#This Row],[Mass Scheme]],Axle_Data[Axle Code]&amp;Axle_Data[Mass Scheme],Axle_Data[MDL Maximum Mass (t)],"",0)</f>
        <v>22.5</v>
      </c>
      <c r="W78" t="str" cm="1">
        <f t="array" ref="W78">_xlfn.XLOOKUP(Mass_Data[[#This Row],[axle group 5]]&amp;Mass_Data[[#This Row],[Mass Scheme]],Axle_Data[Axle Code]&amp;Axle_Data[Mass Scheme],Axle_Data[MDL Maximum Mass (t)],"",0)</f>
        <v/>
      </c>
      <c r="X78" t="str" cm="1">
        <f t="array" ref="X78">_xlfn.XLOOKUP(Mass_Data[[#This Row],[axle group 6]]&amp;Mass_Data[[#This Row],[Mass Scheme]],Axle_Data[Axle Code]&amp;Axle_Data[Mass Scheme],Axle_Data[MDL Maximum Mass (t)],"",0)</f>
        <v/>
      </c>
      <c r="Y78" t="str" cm="1">
        <f t="array" ref="Y78">_xlfn.XLOOKUP(Mass_Data[[#This Row],[axle group 7]]&amp;Mass_Data[[#This Row],[Mass Scheme]],Axle_Data[Axle Code]&amp;Axle_Data[Mass Scheme],Axle_Data[MDL Maximum Mass (t)],"",0)</f>
        <v/>
      </c>
      <c r="Z78" s="81">
        <f>SUM(Mass_Data[[#This Row],[MDL axle group 1 mass]:[MDL axle group 7 mass]])</f>
        <v>73</v>
      </c>
      <c r="AA78">
        <f>Mass_Data[[#This Row],[Total (1)]]-Mass_Data[[#This Row],[GCM (t)]]</f>
        <v>0</v>
      </c>
      <c r="AB78" t="str">
        <f>IF(Mass_Data[[#This Row],[Difference between MDL and GCM]]=0,"YES","NO")</f>
        <v>YES</v>
      </c>
      <c r="AC78" s="22">
        <f>IFERROR(IF(Mass_Data[[#This Row],[Check (1)]]="YES",Mass_Data[[#This Row],[MDL axle group 1 mass]],Mass_Data[[#This Row],[MDL axle group 1 mass]]-(Mass_Data[[#This Row],[Difference between MDL and GCM]]*(Mass_Data[[#This Row],[MDL axle group 1 mass]]/Mass_Data[[#This Row],[Total (1)]]))),"")</f>
        <v>6.5</v>
      </c>
      <c r="AD78" s="22">
        <f>IFERROR(IF(Mass_Data[[#This Row],[Check (1)]]="YES",Mass_Data[[#This Row],[MDL axle group 2 mass]],Mass_Data[[#This Row],[MDL axle group 2 mass]]-(Mass_Data[[#This Row],[Difference between MDL and GCM]]*(Mass_Data[[#This Row],[MDL axle group 2 mass]]/Mass_Data[[#This Row],[Total (1)]]))),"")</f>
        <v>17</v>
      </c>
      <c r="AE78" s="22">
        <f>IFERROR(IF(Mass_Data[[#This Row],[Check (1)]]="YES",Mass_Data[[#This Row],[MDL axle group 3 mass]],Mass_Data[[#This Row],[MDL axle group 3 mass]]-(Mass_Data[[#This Row],[Difference between MDL and GCM]]*(Mass_Data[[#This Row],[MDL axle group 3 mass]]/Mass_Data[[#This Row],[Total (1)]]))),"")</f>
        <v>27</v>
      </c>
      <c r="AF78" s="22">
        <f>IFERROR(IF(Mass_Data[[#This Row],[Check (1)]]="YES",Mass_Data[[#This Row],[MDL axle group 4 mass]],Mass_Data[[#This Row],[MDL axle group 4 mass]]-(Mass_Data[[#This Row],[Difference between MDL and GCM]]*(Mass_Data[[#This Row],[MDL axle group 4 mass]]/Mass_Data[[#This Row],[Total (1)]]))),"")</f>
        <v>22.5</v>
      </c>
      <c r="AG78" s="22" t="str">
        <f>IFERROR(IF(Mass_Data[[#This Row],[Check (1)]]="YES",Mass_Data[[#This Row],[MDL axle group 5 mass]],Mass_Data[[#This Row],[MDL axle group 5 mass]]-(Mass_Data[[#This Row],[Difference between MDL and GCM]]*(Mass_Data[[#This Row],[MDL axle group 5 mass]]/Mass_Data[[#This Row],[Total (1)]]))),"")</f>
        <v/>
      </c>
      <c r="AH78" s="22" t="str">
        <f>IFERROR(IF(Mass_Data[[#This Row],[Check (1)]]="YES",Mass_Data[[#This Row],[MDL axle group 6 mass]],Mass_Data[[#This Row],[MDL axle group 6 mass]]-(Mass_Data[[#This Row],[Difference between MDL and GCM]]*(Mass_Data[[#This Row],[MDL axle group 6 mass]]/Mass_Data[[#This Row],[Total (1)]]))),"")</f>
        <v/>
      </c>
      <c r="AI78" s="22" t="str">
        <f>IFERROR(IF(Mass_Data[[#This Row],[Check (1)]]="YES",Mass_Data[[#This Row],[MDL axle group 7 mass]],Mass_Data[[#This Row],[MDL axle group 7 mass]]-(Mass_Data[[#This Row],[Difference between MDL and GCM]]*(Mass_Data[[#This Row],[MDL axle group 7 mass]]/Mass_Data[[#This Row],[Total (1)]]))),"")</f>
        <v/>
      </c>
      <c r="AJ78" s="81">
        <f>SUM(Mass_Data[[#This Row],[Corrected axle group 1 mass]:[Corrected axle group 7 mass]])</f>
        <v>73</v>
      </c>
      <c r="AK78">
        <f>Mass_Data[[#This Row],[Total (2)]]-Mass_Data[[#This Row],[GCM (t)]]</f>
        <v>0</v>
      </c>
      <c r="AL78" s="22" t="str">
        <f>IF(Mass_Data[[#This Row],[Difference between MDL and corrected axle masses]]=0,"YES","NO")</f>
        <v>YES</v>
      </c>
    </row>
    <row r="79" spans="3:38" x14ac:dyDescent="0.35">
      <c r="C79" s="10" t="str">
        <f t="shared" si="1"/>
        <v>PBS - 3-axle prime mover B-double (4-3) (GML): 3</v>
      </c>
      <c r="D79" s="10" t="s">
        <v>181</v>
      </c>
      <c r="E79" s="10" t="s">
        <v>147</v>
      </c>
      <c r="F79" s="10" t="s">
        <v>18</v>
      </c>
      <c r="G79" s="10" t="s">
        <v>5</v>
      </c>
      <c r="H79" t="s">
        <v>65</v>
      </c>
      <c r="I79" s="9">
        <v>63</v>
      </c>
      <c r="J79" s="14">
        <v>36.831591889039885</v>
      </c>
      <c r="K79" s="14">
        <f>Mass_Data[[#This Row],[GCM (t)]]-Mass_Data[[#This Row],[Payload (t)]]</f>
        <v>26.168408110960115</v>
      </c>
      <c r="L79" t="s">
        <v>8</v>
      </c>
      <c r="M79" t="s">
        <v>9</v>
      </c>
      <c r="N79" t="s">
        <v>39</v>
      </c>
      <c r="O79" t="s">
        <v>10</v>
      </c>
      <c r="P79">
        <v>0</v>
      </c>
      <c r="Q79">
        <v>0</v>
      </c>
      <c r="R79">
        <v>0</v>
      </c>
      <c r="S79" cm="1">
        <f t="array" ref="S79">_xlfn.XLOOKUP(Mass_Data[[#This Row],[axle group 1]]&amp;Mass_Data[[#This Row],[Mass Scheme]],Axle_Data[Axle Code]&amp;Axle_Data[Mass Scheme],Axle_Data[MDL Maximum Mass (t)],"",0)</f>
        <v>6.5</v>
      </c>
      <c r="T79" cm="1">
        <f t="array" ref="T79">_xlfn.XLOOKUP(Mass_Data[[#This Row],[axle group 2]]&amp;Mass_Data[[#This Row],[Mass Scheme]],Axle_Data[Axle Code]&amp;Axle_Data[Mass Scheme],Axle_Data[MDL Maximum Mass (t)],"",0)</f>
        <v>16.5</v>
      </c>
      <c r="U79" cm="1">
        <f t="array" ref="U79">_xlfn.XLOOKUP(Mass_Data[[#This Row],[axle group 3]]&amp;Mass_Data[[#This Row],[Mass Scheme]],Axle_Data[Axle Code]&amp;Axle_Data[Mass Scheme],Axle_Data[MDL Maximum Mass (t)],"",0)</f>
        <v>20</v>
      </c>
      <c r="V79" cm="1">
        <f t="array" ref="V79">_xlfn.XLOOKUP(Mass_Data[[#This Row],[axle group 4]]&amp;Mass_Data[[#This Row],[Mass Scheme]],Axle_Data[Axle Code]&amp;Axle_Data[Mass Scheme],Axle_Data[MDL Maximum Mass (t)],"",0)</f>
        <v>20</v>
      </c>
      <c r="W79" t="str" cm="1">
        <f t="array" ref="W79">_xlfn.XLOOKUP(Mass_Data[[#This Row],[axle group 5]]&amp;Mass_Data[[#This Row],[Mass Scheme]],Axle_Data[Axle Code]&amp;Axle_Data[Mass Scheme],Axle_Data[MDL Maximum Mass (t)],"",0)</f>
        <v/>
      </c>
      <c r="X79" t="str" cm="1">
        <f t="array" ref="X79">_xlfn.XLOOKUP(Mass_Data[[#This Row],[axle group 6]]&amp;Mass_Data[[#This Row],[Mass Scheme]],Axle_Data[Axle Code]&amp;Axle_Data[Mass Scheme],Axle_Data[MDL Maximum Mass (t)],"",0)</f>
        <v/>
      </c>
      <c r="Y79" t="str" cm="1">
        <f t="array" ref="Y79">_xlfn.XLOOKUP(Mass_Data[[#This Row],[axle group 7]]&amp;Mass_Data[[#This Row],[Mass Scheme]],Axle_Data[Axle Code]&amp;Axle_Data[Mass Scheme],Axle_Data[MDL Maximum Mass (t)],"",0)</f>
        <v/>
      </c>
      <c r="Z79" s="81">
        <f>SUM(Mass_Data[[#This Row],[MDL axle group 1 mass]:[MDL axle group 7 mass]])</f>
        <v>63</v>
      </c>
      <c r="AA79">
        <f>Mass_Data[[#This Row],[Total (1)]]-Mass_Data[[#This Row],[GCM (t)]]</f>
        <v>0</v>
      </c>
      <c r="AB79" t="str">
        <f>IF(Mass_Data[[#This Row],[Difference between MDL and GCM]]=0,"YES","NO")</f>
        <v>YES</v>
      </c>
      <c r="AC79" s="22">
        <f>IFERROR(IF(Mass_Data[[#This Row],[Check (1)]]="YES",Mass_Data[[#This Row],[MDL axle group 1 mass]],Mass_Data[[#This Row],[MDL axle group 1 mass]]-(Mass_Data[[#This Row],[Difference between MDL and GCM]]*(Mass_Data[[#This Row],[MDL axle group 1 mass]]/Mass_Data[[#This Row],[Total (1)]]))),"")</f>
        <v>6.5</v>
      </c>
      <c r="AD79" s="22">
        <f>IFERROR(IF(Mass_Data[[#This Row],[Check (1)]]="YES",Mass_Data[[#This Row],[MDL axle group 2 mass]],Mass_Data[[#This Row],[MDL axle group 2 mass]]-(Mass_Data[[#This Row],[Difference between MDL and GCM]]*(Mass_Data[[#This Row],[MDL axle group 2 mass]]/Mass_Data[[#This Row],[Total (1)]]))),"")</f>
        <v>16.5</v>
      </c>
      <c r="AE79" s="22">
        <f>IFERROR(IF(Mass_Data[[#This Row],[Check (1)]]="YES",Mass_Data[[#This Row],[MDL axle group 3 mass]],Mass_Data[[#This Row],[MDL axle group 3 mass]]-(Mass_Data[[#This Row],[Difference between MDL and GCM]]*(Mass_Data[[#This Row],[MDL axle group 3 mass]]/Mass_Data[[#This Row],[Total (1)]]))),"")</f>
        <v>20</v>
      </c>
      <c r="AF79" s="22">
        <f>IFERROR(IF(Mass_Data[[#This Row],[Check (1)]]="YES",Mass_Data[[#This Row],[MDL axle group 4 mass]],Mass_Data[[#This Row],[MDL axle group 4 mass]]-(Mass_Data[[#This Row],[Difference between MDL and GCM]]*(Mass_Data[[#This Row],[MDL axle group 4 mass]]/Mass_Data[[#This Row],[Total (1)]]))),"")</f>
        <v>20</v>
      </c>
      <c r="AG79" s="22" t="str">
        <f>IFERROR(IF(Mass_Data[[#This Row],[Check (1)]]="YES",Mass_Data[[#This Row],[MDL axle group 5 mass]],Mass_Data[[#This Row],[MDL axle group 5 mass]]-(Mass_Data[[#This Row],[Difference between MDL and GCM]]*(Mass_Data[[#This Row],[MDL axle group 5 mass]]/Mass_Data[[#This Row],[Total (1)]]))),"")</f>
        <v/>
      </c>
      <c r="AH79" s="22" t="str">
        <f>IFERROR(IF(Mass_Data[[#This Row],[Check (1)]]="YES",Mass_Data[[#This Row],[MDL axle group 6 mass]],Mass_Data[[#This Row],[MDL axle group 6 mass]]-(Mass_Data[[#This Row],[Difference between MDL and GCM]]*(Mass_Data[[#This Row],[MDL axle group 6 mass]]/Mass_Data[[#This Row],[Total (1)]]))),"")</f>
        <v/>
      </c>
      <c r="AI79" s="22" t="str">
        <f>IFERROR(IF(Mass_Data[[#This Row],[Check (1)]]="YES",Mass_Data[[#This Row],[MDL axle group 7 mass]],Mass_Data[[#This Row],[MDL axle group 7 mass]]-(Mass_Data[[#This Row],[Difference between MDL and GCM]]*(Mass_Data[[#This Row],[MDL axle group 7 mass]]/Mass_Data[[#This Row],[Total (1)]]))),"")</f>
        <v/>
      </c>
      <c r="AJ79" s="81">
        <f>SUM(Mass_Data[[#This Row],[Corrected axle group 1 mass]:[Corrected axle group 7 mass]])</f>
        <v>63</v>
      </c>
      <c r="AK79">
        <f>Mass_Data[[#This Row],[Total (2)]]-Mass_Data[[#This Row],[GCM (t)]]</f>
        <v>0</v>
      </c>
      <c r="AL79" s="22" t="str">
        <f>IF(Mass_Data[[#This Row],[Difference between MDL and corrected axle masses]]=0,"YES","NO")</f>
        <v>YES</v>
      </c>
    </row>
    <row r="80" spans="3:38" x14ac:dyDescent="0.35">
      <c r="C80" s="10" t="str">
        <f t="shared" si="1"/>
        <v>PBS - 3-axle prime mover B-double (4-3) (CML): 3</v>
      </c>
      <c r="D80" s="10" t="s">
        <v>181</v>
      </c>
      <c r="E80" s="10" t="s">
        <v>147</v>
      </c>
      <c r="F80" s="10" t="s">
        <v>20</v>
      </c>
      <c r="G80" s="10" t="s">
        <v>5</v>
      </c>
      <c r="H80" t="s">
        <v>65</v>
      </c>
      <c r="I80" s="9">
        <v>65</v>
      </c>
      <c r="J80" s="14">
        <v>38.831591889039885</v>
      </c>
      <c r="K80" s="14">
        <f>Mass_Data[[#This Row],[GCM (t)]]-Mass_Data[[#This Row],[Payload (t)]]</f>
        <v>26.168408110960115</v>
      </c>
      <c r="L80" t="s">
        <v>8</v>
      </c>
      <c r="M80" t="s">
        <v>9</v>
      </c>
      <c r="N80" t="s">
        <v>39</v>
      </c>
      <c r="O80" t="s">
        <v>10</v>
      </c>
      <c r="P80">
        <v>0</v>
      </c>
      <c r="Q80">
        <v>0</v>
      </c>
      <c r="R80">
        <v>0</v>
      </c>
      <c r="S80" cm="1">
        <f t="array" ref="S80">_xlfn.XLOOKUP(Mass_Data[[#This Row],[axle group 1]]&amp;Mass_Data[[#This Row],[Mass Scheme]],Axle_Data[Axle Code]&amp;Axle_Data[Mass Scheme],Axle_Data[MDL Maximum Mass (t)],"",0)</f>
        <v>6.5</v>
      </c>
      <c r="T80" cm="1">
        <f t="array" ref="T80">_xlfn.XLOOKUP(Mass_Data[[#This Row],[axle group 2]]&amp;Mass_Data[[#This Row],[Mass Scheme]],Axle_Data[Axle Code]&amp;Axle_Data[Mass Scheme],Axle_Data[MDL Maximum Mass (t)],"",0)</f>
        <v>17</v>
      </c>
      <c r="U80" cm="1">
        <f t="array" ref="U80">_xlfn.XLOOKUP(Mass_Data[[#This Row],[axle group 3]]&amp;Mass_Data[[#This Row],[Mass Scheme]],Axle_Data[Axle Code]&amp;Axle_Data[Mass Scheme],Axle_Data[MDL Maximum Mass (t)],"",0)</f>
        <v>21</v>
      </c>
      <c r="V80" cm="1">
        <f t="array" ref="V80">_xlfn.XLOOKUP(Mass_Data[[#This Row],[axle group 4]]&amp;Mass_Data[[#This Row],[Mass Scheme]],Axle_Data[Axle Code]&amp;Axle_Data[Mass Scheme],Axle_Data[MDL Maximum Mass (t)],"",0)</f>
        <v>21</v>
      </c>
      <c r="W80" t="str" cm="1">
        <f t="array" ref="W80">_xlfn.XLOOKUP(Mass_Data[[#This Row],[axle group 5]]&amp;Mass_Data[[#This Row],[Mass Scheme]],Axle_Data[Axle Code]&amp;Axle_Data[Mass Scheme],Axle_Data[MDL Maximum Mass (t)],"",0)</f>
        <v/>
      </c>
      <c r="X80" t="str" cm="1">
        <f t="array" ref="X80">_xlfn.XLOOKUP(Mass_Data[[#This Row],[axle group 6]]&amp;Mass_Data[[#This Row],[Mass Scheme]],Axle_Data[Axle Code]&amp;Axle_Data[Mass Scheme],Axle_Data[MDL Maximum Mass (t)],"",0)</f>
        <v/>
      </c>
      <c r="Y80" t="str" cm="1">
        <f t="array" ref="Y80">_xlfn.XLOOKUP(Mass_Data[[#This Row],[axle group 7]]&amp;Mass_Data[[#This Row],[Mass Scheme]],Axle_Data[Axle Code]&amp;Axle_Data[Mass Scheme],Axle_Data[MDL Maximum Mass (t)],"",0)</f>
        <v/>
      </c>
      <c r="Z80" s="81">
        <f>SUM(Mass_Data[[#This Row],[MDL axle group 1 mass]:[MDL axle group 7 mass]])</f>
        <v>65.5</v>
      </c>
      <c r="AA80">
        <f>Mass_Data[[#This Row],[Total (1)]]-Mass_Data[[#This Row],[GCM (t)]]</f>
        <v>0.5</v>
      </c>
      <c r="AB80" t="str">
        <f>IF(Mass_Data[[#This Row],[Difference between MDL and GCM]]=0,"YES","NO")</f>
        <v>NO</v>
      </c>
      <c r="AC80" s="22">
        <f>IFERROR(IF(Mass_Data[[#This Row],[Check (1)]]="YES",Mass_Data[[#This Row],[MDL axle group 1 mass]],Mass_Data[[#This Row],[MDL axle group 1 mass]]-(Mass_Data[[#This Row],[Difference between MDL and GCM]]*(Mass_Data[[#This Row],[MDL axle group 1 mass]]/Mass_Data[[#This Row],[Total (1)]]))),"")</f>
        <v>6.4503816793893129</v>
      </c>
      <c r="AD80" s="22">
        <f>IFERROR(IF(Mass_Data[[#This Row],[Check (1)]]="YES",Mass_Data[[#This Row],[MDL axle group 2 mass]],Mass_Data[[#This Row],[MDL axle group 2 mass]]-(Mass_Data[[#This Row],[Difference between MDL and GCM]]*(Mass_Data[[#This Row],[MDL axle group 2 mass]]/Mass_Data[[#This Row],[Total (1)]]))),"")</f>
        <v>16.870229007633586</v>
      </c>
      <c r="AE80" s="22">
        <f>IFERROR(IF(Mass_Data[[#This Row],[Check (1)]]="YES",Mass_Data[[#This Row],[MDL axle group 3 mass]],Mass_Data[[#This Row],[MDL axle group 3 mass]]-(Mass_Data[[#This Row],[Difference between MDL and GCM]]*(Mass_Data[[#This Row],[MDL axle group 3 mass]]/Mass_Data[[#This Row],[Total (1)]]))),"")</f>
        <v>20.83969465648855</v>
      </c>
      <c r="AF80" s="22">
        <f>IFERROR(IF(Mass_Data[[#This Row],[Check (1)]]="YES",Mass_Data[[#This Row],[MDL axle group 4 mass]],Mass_Data[[#This Row],[MDL axle group 4 mass]]-(Mass_Data[[#This Row],[Difference between MDL and GCM]]*(Mass_Data[[#This Row],[MDL axle group 4 mass]]/Mass_Data[[#This Row],[Total (1)]]))),"")</f>
        <v>20.83969465648855</v>
      </c>
      <c r="AG80" s="22" t="str">
        <f>IFERROR(IF(Mass_Data[[#This Row],[Check (1)]]="YES",Mass_Data[[#This Row],[MDL axle group 5 mass]],Mass_Data[[#This Row],[MDL axle group 5 mass]]-(Mass_Data[[#This Row],[Difference between MDL and GCM]]*(Mass_Data[[#This Row],[MDL axle group 5 mass]]/Mass_Data[[#This Row],[Total (1)]]))),"")</f>
        <v/>
      </c>
      <c r="AH80" s="22" t="str">
        <f>IFERROR(IF(Mass_Data[[#This Row],[Check (1)]]="YES",Mass_Data[[#This Row],[MDL axle group 6 mass]],Mass_Data[[#This Row],[MDL axle group 6 mass]]-(Mass_Data[[#This Row],[Difference between MDL and GCM]]*(Mass_Data[[#This Row],[MDL axle group 6 mass]]/Mass_Data[[#This Row],[Total (1)]]))),"")</f>
        <v/>
      </c>
      <c r="AI80" s="22" t="str">
        <f>IFERROR(IF(Mass_Data[[#This Row],[Check (1)]]="YES",Mass_Data[[#This Row],[MDL axle group 7 mass]],Mass_Data[[#This Row],[MDL axle group 7 mass]]-(Mass_Data[[#This Row],[Difference between MDL and GCM]]*(Mass_Data[[#This Row],[MDL axle group 7 mass]]/Mass_Data[[#This Row],[Total (1)]]))),"")</f>
        <v/>
      </c>
      <c r="AJ80" s="81">
        <f>SUM(Mass_Data[[#This Row],[Corrected axle group 1 mass]:[Corrected axle group 7 mass]])</f>
        <v>65</v>
      </c>
      <c r="AK80">
        <f>Mass_Data[[#This Row],[Total (2)]]-Mass_Data[[#This Row],[GCM (t)]]</f>
        <v>0</v>
      </c>
      <c r="AL80" s="22" t="str">
        <f>IF(Mass_Data[[#This Row],[Difference between MDL and corrected axle masses]]=0,"YES","NO")</f>
        <v>YES</v>
      </c>
    </row>
    <row r="81" spans="3:38" x14ac:dyDescent="0.35">
      <c r="C81" s="10" t="str">
        <f t="shared" si="1"/>
        <v>PBS - 3-axle prime mover B-double (4-3) (HML): 3</v>
      </c>
      <c r="D81" s="10" t="s">
        <v>181</v>
      </c>
      <c r="E81" s="10" t="s">
        <v>147</v>
      </c>
      <c r="F81" s="10" t="s">
        <v>7</v>
      </c>
      <c r="G81" s="10" t="s">
        <v>5</v>
      </c>
      <c r="H81" t="s">
        <v>65</v>
      </c>
      <c r="I81" s="9">
        <v>73</v>
      </c>
      <c r="J81" s="14">
        <v>46.831591889039885</v>
      </c>
      <c r="K81" s="14">
        <f>Mass_Data[[#This Row],[GCM (t)]]-Mass_Data[[#This Row],[Payload (t)]]</f>
        <v>26.168408110960115</v>
      </c>
      <c r="L81" t="s">
        <v>8</v>
      </c>
      <c r="M81" t="s">
        <v>9</v>
      </c>
      <c r="N81" t="s">
        <v>39</v>
      </c>
      <c r="O81" t="s">
        <v>10</v>
      </c>
      <c r="P81">
        <v>0</v>
      </c>
      <c r="Q81">
        <v>0</v>
      </c>
      <c r="R81">
        <v>0</v>
      </c>
      <c r="S81" cm="1">
        <f t="array" ref="S81">_xlfn.XLOOKUP(Mass_Data[[#This Row],[axle group 1]]&amp;Mass_Data[[#This Row],[Mass Scheme]],Axle_Data[Axle Code]&amp;Axle_Data[Mass Scheme],Axle_Data[MDL Maximum Mass (t)],"",0)</f>
        <v>6.5</v>
      </c>
      <c r="T81" cm="1">
        <f t="array" ref="T81">_xlfn.XLOOKUP(Mass_Data[[#This Row],[axle group 2]]&amp;Mass_Data[[#This Row],[Mass Scheme]],Axle_Data[Axle Code]&amp;Axle_Data[Mass Scheme],Axle_Data[MDL Maximum Mass (t)],"",0)</f>
        <v>17</v>
      </c>
      <c r="U81" cm="1">
        <f t="array" ref="U81">_xlfn.XLOOKUP(Mass_Data[[#This Row],[axle group 3]]&amp;Mass_Data[[#This Row],[Mass Scheme]],Axle_Data[Axle Code]&amp;Axle_Data[Mass Scheme],Axle_Data[MDL Maximum Mass (t)],"",0)</f>
        <v>27</v>
      </c>
      <c r="V81" cm="1">
        <f t="array" ref="V81">_xlfn.XLOOKUP(Mass_Data[[#This Row],[axle group 4]]&amp;Mass_Data[[#This Row],[Mass Scheme]],Axle_Data[Axle Code]&amp;Axle_Data[Mass Scheme],Axle_Data[MDL Maximum Mass (t)],"",0)</f>
        <v>22.5</v>
      </c>
      <c r="W81" t="str" cm="1">
        <f t="array" ref="W81">_xlfn.XLOOKUP(Mass_Data[[#This Row],[axle group 5]]&amp;Mass_Data[[#This Row],[Mass Scheme]],Axle_Data[Axle Code]&amp;Axle_Data[Mass Scheme],Axle_Data[MDL Maximum Mass (t)],"",0)</f>
        <v/>
      </c>
      <c r="X81" t="str" cm="1">
        <f t="array" ref="X81">_xlfn.XLOOKUP(Mass_Data[[#This Row],[axle group 6]]&amp;Mass_Data[[#This Row],[Mass Scheme]],Axle_Data[Axle Code]&amp;Axle_Data[Mass Scheme],Axle_Data[MDL Maximum Mass (t)],"",0)</f>
        <v/>
      </c>
      <c r="Y81" t="str" cm="1">
        <f t="array" ref="Y81">_xlfn.XLOOKUP(Mass_Data[[#This Row],[axle group 7]]&amp;Mass_Data[[#This Row],[Mass Scheme]],Axle_Data[Axle Code]&amp;Axle_Data[Mass Scheme],Axle_Data[MDL Maximum Mass (t)],"",0)</f>
        <v/>
      </c>
      <c r="Z81" s="81">
        <f>SUM(Mass_Data[[#This Row],[MDL axle group 1 mass]:[MDL axle group 7 mass]])</f>
        <v>73</v>
      </c>
      <c r="AA81">
        <f>Mass_Data[[#This Row],[Total (1)]]-Mass_Data[[#This Row],[GCM (t)]]</f>
        <v>0</v>
      </c>
      <c r="AB81" t="str">
        <f>IF(Mass_Data[[#This Row],[Difference between MDL and GCM]]=0,"YES","NO")</f>
        <v>YES</v>
      </c>
      <c r="AC81" s="22">
        <f>IFERROR(IF(Mass_Data[[#This Row],[Check (1)]]="YES",Mass_Data[[#This Row],[MDL axle group 1 mass]],Mass_Data[[#This Row],[MDL axle group 1 mass]]-(Mass_Data[[#This Row],[Difference between MDL and GCM]]*(Mass_Data[[#This Row],[MDL axle group 1 mass]]/Mass_Data[[#This Row],[Total (1)]]))),"")</f>
        <v>6.5</v>
      </c>
      <c r="AD81" s="22">
        <f>IFERROR(IF(Mass_Data[[#This Row],[Check (1)]]="YES",Mass_Data[[#This Row],[MDL axle group 2 mass]],Mass_Data[[#This Row],[MDL axle group 2 mass]]-(Mass_Data[[#This Row],[Difference between MDL and GCM]]*(Mass_Data[[#This Row],[MDL axle group 2 mass]]/Mass_Data[[#This Row],[Total (1)]]))),"")</f>
        <v>17</v>
      </c>
      <c r="AE81" s="22">
        <f>IFERROR(IF(Mass_Data[[#This Row],[Check (1)]]="YES",Mass_Data[[#This Row],[MDL axle group 3 mass]],Mass_Data[[#This Row],[MDL axle group 3 mass]]-(Mass_Data[[#This Row],[Difference between MDL and GCM]]*(Mass_Data[[#This Row],[MDL axle group 3 mass]]/Mass_Data[[#This Row],[Total (1)]]))),"")</f>
        <v>27</v>
      </c>
      <c r="AF81" s="22">
        <f>IFERROR(IF(Mass_Data[[#This Row],[Check (1)]]="YES",Mass_Data[[#This Row],[MDL axle group 4 mass]],Mass_Data[[#This Row],[MDL axle group 4 mass]]-(Mass_Data[[#This Row],[Difference between MDL and GCM]]*(Mass_Data[[#This Row],[MDL axle group 4 mass]]/Mass_Data[[#This Row],[Total (1)]]))),"")</f>
        <v>22.5</v>
      </c>
      <c r="AG81" s="22" t="str">
        <f>IFERROR(IF(Mass_Data[[#This Row],[Check (1)]]="YES",Mass_Data[[#This Row],[MDL axle group 5 mass]],Mass_Data[[#This Row],[MDL axle group 5 mass]]-(Mass_Data[[#This Row],[Difference between MDL and GCM]]*(Mass_Data[[#This Row],[MDL axle group 5 mass]]/Mass_Data[[#This Row],[Total (1)]]))),"")</f>
        <v/>
      </c>
      <c r="AH81" s="22" t="str">
        <f>IFERROR(IF(Mass_Data[[#This Row],[Check (1)]]="YES",Mass_Data[[#This Row],[MDL axle group 6 mass]],Mass_Data[[#This Row],[MDL axle group 6 mass]]-(Mass_Data[[#This Row],[Difference between MDL and GCM]]*(Mass_Data[[#This Row],[MDL axle group 6 mass]]/Mass_Data[[#This Row],[Total (1)]]))),"")</f>
        <v/>
      </c>
      <c r="AI81" s="22" t="str">
        <f>IFERROR(IF(Mass_Data[[#This Row],[Check (1)]]="YES",Mass_Data[[#This Row],[MDL axle group 7 mass]],Mass_Data[[#This Row],[MDL axle group 7 mass]]-(Mass_Data[[#This Row],[Difference between MDL and GCM]]*(Mass_Data[[#This Row],[MDL axle group 7 mass]]/Mass_Data[[#This Row],[Total (1)]]))),"")</f>
        <v/>
      </c>
      <c r="AJ81" s="81">
        <f>SUM(Mass_Data[[#This Row],[Corrected axle group 1 mass]:[Corrected axle group 7 mass]])</f>
        <v>73</v>
      </c>
      <c r="AK81">
        <f>Mass_Data[[#This Row],[Total (2)]]-Mass_Data[[#This Row],[GCM (t)]]</f>
        <v>0</v>
      </c>
      <c r="AL81" s="22" t="str">
        <f>IF(Mass_Data[[#This Row],[Difference between MDL and corrected axle masses]]=0,"YES","NO")</f>
        <v>YES</v>
      </c>
    </row>
    <row r="82" spans="3:38" x14ac:dyDescent="0.35">
      <c r="C82" s="10" t="str">
        <f t="shared" si="1"/>
        <v>PBS - 3-axle prime mover B-double (4-4) (GML): 2</v>
      </c>
      <c r="D82" s="10" t="s">
        <v>148</v>
      </c>
      <c r="E82" s="10" t="s">
        <v>147</v>
      </c>
      <c r="F82" s="10" t="s">
        <v>18</v>
      </c>
      <c r="G82" s="10" t="s">
        <v>4</v>
      </c>
      <c r="H82" t="s">
        <v>66</v>
      </c>
      <c r="I82" s="9">
        <v>63</v>
      </c>
      <c r="J82" s="14">
        <v>32.927578816325742</v>
      </c>
      <c r="K82" s="14">
        <f>Mass_Data[[#This Row],[GCM (t)]]-Mass_Data[[#This Row],[Payload (t)]]</f>
        <v>30.072421183674258</v>
      </c>
      <c r="L82" t="s">
        <v>8</v>
      </c>
      <c r="M82" t="s">
        <v>9</v>
      </c>
      <c r="N82" t="s">
        <v>39</v>
      </c>
      <c r="O82" t="s">
        <v>39</v>
      </c>
      <c r="P82">
        <v>0</v>
      </c>
      <c r="Q82">
        <v>0</v>
      </c>
      <c r="R82">
        <v>0</v>
      </c>
      <c r="S82" cm="1">
        <f t="array" ref="S82">_xlfn.XLOOKUP(Mass_Data[[#This Row],[axle group 1]]&amp;Mass_Data[[#This Row],[Mass Scheme]],Axle_Data[Axle Code]&amp;Axle_Data[Mass Scheme],Axle_Data[MDL Maximum Mass (t)],"",0)</f>
        <v>6.5</v>
      </c>
      <c r="T82" cm="1">
        <f t="array" ref="T82">_xlfn.XLOOKUP(Mass_Data[[#This Row],[axle group 2]]&amp;Mass_Data[[#This Row],[Mass Scheme]],Axle_Data[Axle Code]&amp;Axle_Data[Mass Scheme],Axle_Data[MDL Maximum Mass (t)],"",0)</f>
        <v>16.5</v>
      </c>
      <c r="U82" cm="1">
        <f t="array" ref="U82">_xlfn.XLOOKUP(Mass_Data[[#This Row],[axle group 3]]&amp;Mass_Data[[#This Row],[Mass Scheme]],Axle_Data[Axle Code]&amp;Axle_Data[Mass Scheme],Axle_Data[MDL Maximum Mass (t)],"",0)</f>
        <v>20</v>
      </c>
      <c r="V82" cm="1">
        <f t="array" ref="V82">_xlfn.XLOOKUP(Mass_Data[[#This Row],[axle group 4]]&amp;Mass_Data[[#This Row],[Mass Scheme]],Axle_Data[Axle Code]&amp;Axle_Data[Mass Scheme],Axle_Data[MDL Maximum Mass (t)],"",0)</f>
        <v>20</v>
      </c>
      <c r="W82" t="str" cm="1">
        <f t="array" ref="W82">_xlfn.XLOOKUP(Mass_Data[[#This Row],[axle group 5]]&amp;Mass_Data[[#This Row],[Mass Scheme]],Axle_Data[Axle Code]&amp;Axle_Data[Mass Scheme],Axle_Data[MDL Maximum Mass (t)],"",0)</f>
        <v/>
      </c>
      <c r="X82" t="str" cm="1">
        <f t="array" ref="X82">_xlfn.XLOOKUP(Mass_Data[[#This Row],[axle group 6]]&amp;Mass_Data[[#This Row],[Mass Scheme]],Axle_Data[Axle Code]&amp;Axle_Data[Mass Scheme],Axle_Data[MDL Maximum Mass (t)],"",0)</f>
        <v/>
      </c>
      <c r="Y82" t="str" cm="1">
        <f t="array" ref="Y82">_xlfn.XLOOKUP(Mass_Data[[#This Row],[axle group 7]]&amp;Mass_Data[[#This Row],[Mass Scheme]],Axle_Data[Axle Code]&amp;Axle_Data[Mass Scheme],Axle_Data[MDL Maximum Mass (t)],"",0)</f>
        <v/>
      </c>
      <c r="Z82" s="81">
        <f>SUM(Mass_Data[[#This Row],[MDL axle group 1 mass]:[MDL axle group 7 mass]])</f>
        <v>63</v>
      </c>
      <c r="AA82">
        <f>Mass_Data[[#This Row],[Total (1)]]-Mass_Data[[#This Row],[GCM (t)]]</f>
        <v>0</v>
      </c>
      <c r="AB82" t="str">
        <f>IF(Mass_Data[[#This Row],[Difference between MDL and GCM]]=0,"YES","NO")</f>
        <v>YES</v>
      </c>
      <c r="AC82" s="22">
        <f>IFERROR(IF(Mass_Data[[#This Row],[Check (1)]]="YES",Mass_Data[[#This Row],[MDL axle group 1 mass]],Mass_Data[[#This Row],[MDL axle group 1 mass]]-(Mass_Data[[#This Row],[Difference between MDL and GCM]]*(Mass_Data[[#This Row],[MDL axle group 1 mass]]/Mass_Data[[#This Row],[Total (1)]]))),"")</f>
        <v>6.5</v>
      </c>
      <c r="AD82" s="22">
        <f>IFERROR(IF(Mass_Data[[#This Row],[Check (1)]]="YES",Mass_Data[[#This Row],[MDL axle group 2 mass]],Mass_Data[[#This Row],[MDL axle group 2 mass]]-(Mass_Data[[#This Row],[Difference between MDL and GCM]]*(Mass_Data[[#This Row],[MDL axle group 2 mass]]/Mass_Data[[#This Row],[Total (1)]]))),"")</f>
        <v>16.5</v>
      </c>
      <c r="AE82" s="22">
        <f>IFERROR(IF(Mass_Data[[#This Row],[Check (1)]]="YES",Mass_Data[[#This Row],[MDL axle group 3 mass]],Mass_Data[[#This Row],[MDL axle group 3 mass]]-(Mass_Data[[#This Row],[Difference between MDL and GCM]]*(Mass_Data[[#This Row],[MDL axle group 3 mass]]/Mass_Data[[#This Row],[Total (1)]]))),"")</f>
        <v>20</v>
      </c>
      <c r="AF82" s="22">
        <f>IFERROR(IF(Mass_Data[[#This Row],[Check (1)]]="YES",Mass_Data[[#This Row],[MDL axle group 4 mass]],Mass_Data[[#This Row],[MDL axle group 4 mass]]-(Mass_Data[[#This Row],[Difference between MDL and GCM]]*(Mass_Data[[#This Row],[MDL axle group 4 mass]]/Mass_Data[[#This Row],[Total (1)]]))),"")</f>
        <v>20</v>
      </c>
      <c r="AG82" s="22" t="str">
        <f>IFERROR(IF(Mass_Data[[#This Row],[Check (1)]]="YES",Mass_Data[[#This Row],[MDL axle group 5 mass]],Mass_Data[[#This Row],[MDL axle group 5 mass]]-(Mass_Data[[#This Row],[Difference between MDL and GCM]]*(Mass_Data[[#This Row],[MDL axle group 5 mass]]/Mass_Data[[#This Row],[Total (1)]]))),"")</f>
        <v/>
      </c>
      <c r="AH82" s="22" t="str">
        <f>IFERROR(IF(Mass_Data[[#This Row],[Check (1)]]="YES",Mass_Data[[#This Row],[MDL axle group 6 mass]],Mass_Data[[#This Row],[MDL axle group 6 mass]]-(Mass_Data[[#This Row],[Difference between MDL and GCM]]*(Mass_Data[[#This Row],[MDL axle group 6 mass]]/Mass_Data[[#This Row],[Total (1)]]))),"")</f>
        <v/>
      </c>
      <c r="AI82" s="22" t="str">
        <f>IFERROR(IF(Mass_Data[[#This Row],[Check (1)]]="YES",Mass_Data[[#This Row],[MDL axle group 7 mass]],Mass_Data[[#This Row],[MDL axle group 7 mass]]-(Mass_Data[[#This Row],[Difference between MDL and GCM]]*(Mass_Data[[#This Row],[MDL axle group 7 mass]]/Mass_Data[[#This Row],[Total (1)]]))),"")</f>
        <v/>
      </c>
      <c r="AJ82" s="81">
        <f>SUM(Mass_Data[[#This Row],[Corrected axle group 1 mass]:[Corrected axle group 7 mass]])</f>
        <v>63</v>
      </c>
      <c r="AK82">
        <f>Mass_Data[[#This Row],[Total (2)]]-Mass_Data[[#This Row],[GCM (t)]]</f>
        <v>0</v>
      </c>
      <c r="AL82" s="22" t="str">
        <f>IF(Mass_Data[[#This Row],[Difference between MDL and corrected axle masses]]=0,"YES","NO")</f>
        <v>YES</v>
      </c>
    </row>
    <row r="83" spans="3:38" x14ac:dyDescent="0.35">
      <c r="C83" s="10" t="str">
        <f t="shared" si="1"/>
        <v>PBS - 3-axle prime mover B-double (4-4) (CML): 2</v>
      </c>
      <c r="D83" s="10" t="s">
        <v>148</v>
      </c>
      <c r="E83" s="10" t="s">
        <v>147</v>
      </c>
      <c r="F83" s="10" t="s">
        <v>20</v>
      </c>
      <c r="G83" s="10" t="s">
        <v>4</v>
      </c>
      <c r="H83" t="s">
        <v>66</v>
      </c>
      <c r="I83" s="9">
        <v>65</v>
      </c>
      <c r="J83" s="14">
        <v>34.927578816325742</v>
      </c>
      <c r="K83" s="14">
        <f>Mass_Data[[#This Row],[GCM (t)]]-Mass_Data[[#This Row],[Payload (t)]]</f>
        <v>30.072421183674258</v>
      </c>
      <c r="L83" t="s">
        <v>8</v>
      </c>
      <c r="M83" t="s">
        <v>9</v>
      </c>
      <c r="N83" t="s">
        <v>39</v>
      </c>
      <c r="O83" t="s">
        <v>39</v>
      </c>
      <c r="P83">
        <v>0</v>
      </c>
      <c r="Q83">
        <v>0</v>
      </c>
      <c r="R83">
        <v>0</v>
      </c>
      <c r="S83" cm="1">
        <f t="array" ref="S83">_xlfn.XLOOKUP(Mass_Data[[#This Row],[axle group 1]]&amp;Mass_Data[[#This Row],[Mass Scheme]],Axle_Data[Axle Code]&amp;Axle_Data[Mass Scheme],Axle_Data[MDL Maximum Mass (t)],"",0)</f>
        <v>6.5</v>
      </c>
      <c r="T83" cm="1">
        <f t="array" ref="T83">_xlfn.XLOOKUP(Mass_Data[[#This Row],[axle group 2]]&amp;Mass_Data[[#This Row],[Mass Scheme]],Axle_Data[Axle Code]&amp;Axle_Data[Mass Scheme],Axle_Data[MDL Maximum Mass (t)],"",0)</f>
        <v>17</v>
      </c>
      <c r="U83" cm="1">
        <f t="array" ref="U83">_xlfn.XLOOKUP(Mass_Data[[#This Row],[axle group 3]]&amp;Mass_Data[[#This Row],[Mass Scheme]],Axle_Data[Axle Code]&amp;Axle_Data[Mass Scheme],Axle_Data[MDL Maximum Mass (t)],"",0)</f>
        <v>21</v>
      </c>
      <c r="V83" cm="1">
        <f t="array" ref="V83">_xlfn.XLOOKUP(Mass_Data[[#This Row],[axle group 4]]&amp;Mass_Data[[#This Row],[Mass Scheme]],Axle_Data[Axle Code]&amp;Axle_Data[Mass Scheme],Axle_Data[MDL Maximum Mass (t)],"",0)</f>
        <v>21</v>
      </c>
      <c r="W83" t="str" cm="1">
        <f t="array" ref="W83">_xlfn.XLOOKUP(Mass_Data[[#This Row],[axle group 5]]&amp;Mass_Data[[#This Row],[Mass Scheme]],Axle_Data[Axle Code]&amp;Axle_Data[Mass Scheme],Axle_Data[MDL Maximum Mass (t)],"",0)</f>
        <v/>
      </c>
      <c r="X83" t="str" cm="1">
        <f t="array" ref="X83">_xlfn.XLOOKUP(Mass_Data[[#This Row],[axle group 6]]&amp;Mass_Data[[#This Row],[Mass Scheme]],Axle_Data[Axle Code]&amp;Axle_Data[Mass Scheme],Axle_Data[MDL Maximum Mass (t)],"",0)</f>
        <v/>
      </c>
      <c r="Y83" t="str" cm="1">
        <f t="array" ref="Y83">_xlfn.XLOOKUP(Mass_Data[[#This Row],[axle group 7]]&amp;Mass_Data[[#This Row],[Mass Scheme]],Axle_Data[Axle Code]&amp;Axle_Data[Mass Scheme],Axle_Data[MDL Maximum Mass (t)],"",0)</f>
        <v/>
      </c>
      <c r="Z83" s="81">
        <f>SUM(Mass_Data[[#This Row],[MDL axle group 1 mass]:[MDL axle group 7 mass]])</f>
        <v>65.5</v>
      </c>
      <c r="AA83">
        <f>Mass_Data[[#This Row],[Total (1)]]-Mass_Data[[#This Row],[GCM (t)]]</f>
        <v>0.5</v>
      </c>
      <c r="AB83" t="str">
        <f>IF(Mass_Data[[#This Row],[Difference between MDL and GCM]]=0,"YES","NO")</f>
        <v>NO</v>
      </c>
      <c r="AC83" s="22">
        <f>IFERROR(IF(Mass_Data[[#This Row],[Check (1)]]="YES",Mass_Data[[#This Row],[MDL axle group 1 mass]],Mass_Data[[#This Row],[MDL axle group 1 mass]]-(Mass_Data[[#This Row],[Difference between MDL and GCM]]*(Mass_Data[[#This Row],[MDL axle group 1 mass]]/Mass_Data[[#This Row],[Total (1)]]))),"")</f>
        <v>6.4503816793893129</v>
      </c>
      <c r="AD83" s="22">
        <f>IFERROR(IF(Mass_Data[[#This Row],[Check (1)]]="YES",Mass_Data[[#This Row],[MDL axle group 2 mass]],Mass_Data[[#This Row],[MDL axle group 2 mass]]-(Mass_Data[[#This Row],[Difference between MDL and GCM]]*(Mass_Data[[#This Row],[MDL axle group 2 mass]]/Mass_Data[[#This Row],[Total (1)]]))),"")</f>
        <v>16.870229007633586</v>
      </c>
      <c r="AE83" s="22">
        <f>IFERROR(IF(Mass_Data[[#This Row],[Check (1)]]="YES",Mass_Data[[#This Row],[MDL axle group 3 mass]],Mass_Data[[#This Row],[MDL axle group 3 mass]]-(Mass_Data[[#This Row],[Difference between MDL and GCM]]*(Mass_Data[[#This Row],[MDL axle group 3 mass]]/Mass_Data[[#This Row],[Total (1)]]))),"")</f>
        <v>20.83969465648855</v>
      </c>
      <c r="AF83" s="22">
        <f>IFERROR(IF(Mass_Data[[#This Row],[Check (1)]]="YES",Mass_Data[[#This Row],[MDL axle group 4 mass]],Mass_Data[[#This Row],[MDL axle group 4 mass]]-(Mass_Data[[#This Row],[Difference between MDL and GCM]]*(Mass_Data[[#This Row],[MDL axle group 4 mass]]/Mass_Data[[#This Row],[Total (1)]]))),"")</f>
        <v>20.83969465648855</v>
      </c>
      <c r="AG83" s="22" t="str">
        <f>IFERROR(IF(Mass_Data[[#This Row],[Check (1)]]="YES",Mass_Data[[#This Row],[MDL axle group 5 mass]],Mass_Data[[#This Row],[MDL axle group 5 mass]]-(Mass_Data[[#This Row],[Difference between MDL and GCM]]*(Mass_Data[[#This Row],[MDL axle group 5 mass]]/Mass_Data[[#This Row],[Total (1)]]))),"")</f>
        <v/>
      </c>
      <c r="AH83" s="22" t="str">
        <f>IFERROR(IF(Mass_Data[[#This Row],[Check (1)]]="YES",Mass_Data[[#This Row],[MDL axle group 6 mass]],Mass_Data[[#This Row],[MDL axle group 6 mass]]-(Mass_Data[[#This Row],[Difference between MDL and GCM]]*(Mass_Data[[#This Row],[MDL axle group 6 mass]]/Mass_Data[[#This Row],[Total (1)]]))),"")</f>
        <v/>
      </c>
      <c r="AI83" s="22" t="str">
        <f>IFERROR(IF(Mass_Data[[#This Row],[Check (1)]]="YES",Mass_Data[[#This Row],[MDL axle group 7 mass]],Mass_Data[[#This Row],[MDL axle group 7 mass]]-(Mass_Data[[#This Row],[Difference between MDL and GCM]]*(Mass_Data[[#This Row],[MDL axle group 7 mass]]/Mass_Data[[#This Row],[Total (1)]]))),"")</f>
        <v/>
      </c>
      <c r="AJ83" s="81">
        <f>SUM(Mass_Data[[#This Row],[Corrected axle group 1 mass]:[Corrected axle group 7 mass]])</f>
        <v>65</v>
      </c>
      <c r="AK83">
        <f>Mass_Data[[#This Row],[Total (2)]]-Mass_Data[[#This Row],[GCM (t)]]</f>
        <v>0</v>
      </c>
      <c r="AL83" s="22" t="str">
        <f>IF(Mass_Data[[#This Row],[Difference between MDL and corrected axle masses]]=0,"YES","NO")</f>
        <v>YES</v>
      </c>
    </row>
    <row r="84" spans="3:38" x14ac:dyDescent="0.35">
      <c r="C84" s="10" t="str">
        <f t="shared" si="1"/>
        <v>PBS - 3-axle prime mover B-double (4-4) (HML): 2</v>
      </c>
      <c r="D84" s="10" t="s">
        <v>148</v>
      </c>
      <c r="E84" s="10" t="s">
        <v>147</v>
      </c>
      <c r="F84" s="10" t="s">
        <v>7</v>
      </c>
      <c r="G84" s="10" t="s">
        <v>4</v>
      </c>
      <c r="H84" t="s">
        <v>66</v>
      </c>
      <c r="I84" s="9">
        <v>77.5</v>
      </c>
      <c r="J84" s="14">
        <v>47.427578816325742</v>
      </c>
      <c r="K84" s="14">
        <f>Mass_Data[[#This Row],[GCM (t)]]-Mass_Data[[#This Row],[Payload (t)]]</f>
        <v>30.072421183674258</v>
      </c>
      <c r="L84" t="s">
        <v>8</v>
      </c>
      <c r="M84" t="s">
        <v>9</v>
      </c>
      <c r="N84" t="s">
        <v>39</v>
      </c>
      <c r="O84" t="s">
        <v>39</v>
      </c>
      <c r="P84">
        <v>0</v>
      </c>
      <c r="Q84">
        <v>0</v>
      </c>
      <c r="R84">
        <v>0</v>
      </c>
      <c r="S84" cm="1">
        <f t="array" ref="S84">_xlfn.XLOOKUP(Mass_Data[[#This Row],[axle group 1]]&amp;Mass_Data[[#This Row],[Mass Scheme]],Axle_Data[Axle Code]&amp;Axle_Data[Mass Scheme],Axle_Data[MDL Maximum Mass (t)],"",0)</f>
        <v>6.5</v>
      </c>
      <c r="T84" cm="1">
        <f t="array" ref="T84">_xlfn.XLOOKUP(Mass_Data[[#This Row],[axle group 2]]&amp;Mass_Data[[#This Row],[Mass Scheme]],Axle_Data[Axle Code]&amp;Axle_Data[Mass Scheme],Axle_Data[MDL Maximum Mass (t)],"",0)</f>
        <v>17</v>
      </c>
      <c r="U84" cm="1">
        <f t="array" ref="U84">_xlfn.XLOOKUP(Mass_Data[[#This Row],[axle group 3]]&amp;Mass_Data[[#This Row],[Mass Scheme]],Axle_Data[Axle Code]&amp;Axle_Data[Mass Scheme],Axle_Data[MDL Maximum Mass (t)],"",0)</f>
        <v>27</v>
      </c>
      <c r="V84" cm="1">
        <f t="array" ref="V84">_xlfn.XLOOKUP(Mass_Data[[#This Row],[axle group 4]]&amp;Mass_Data[[#This Row],[Mass Scheme]],Axle_Data[Axle Code]&amp;Axle_Data[Mass Scheme],Axle_Data[MDL Maximum Mass (t)],"",0)</f>
        <v>27</v>
      </c>
      <c r="W84" t="str" cm="1">
        <f t="array" ref="W84">_xlfn.XLOOKUP(Mass_Data[[#This Row],[axle group 5]]&amp;Mass_Data[[#This Row],[Mass Scheme]],Axle_Data[Axle Code]&amp;Axle_Data[Mass Scheme],Axle_Data[MDL Maximum Mass (t)],"",0)</f>
        <v/>
      </c>
      <c r="X84" t="str" cm="1">
        <f t="array" ref="X84">_xlfn.XLOOKUP(Mass_Data[[#This Row],[axle group 6]]&amp;Mass_Data[[#This Row],[Mass Scheme]],Axle_Data[Axle Code]&amp;Axle_Data[Mass Scheme],Axle_Data[MDL Maximum Mass (t)],"",0)</f>
        <v/>
      </c>
      <c r="Y84" t="str" cm="1">
        <f t="array" ref="Y84">_xlfn.XLOOKUP(Mass_Data[[#This Row],[axle group 7]]&amp;Mass_Data[[#This Row],[Mass Scheme]],Axle_Data[Axle Code]&amp;Axle_Data[Mass Scheme],Axle_Data[MDL Maximum Mass (t)],"",0)</f>
        <v/>
      </c>
      <c r="Z84" s="81">
        <f>SUM(Mass_Data[[#This Row],[MDL axle group 1 mass]:[MDL axle group 7 mass]])</f>
        <v>77.5</v>
      </c>
      <c r="AA84">
        <f>Mass_Data[[#This Row],[Total (1)]]-Mass_Data[[#This Row],[GCM (t)]]</f>
        <v>0</v>
      </c>
      <c r="AB84" t="str">
        <f>IF(Mass_Data[[#This Row],[Difference between MDL and GCM]]=0,"YES","NO")</f>
        <v>YES</v>
      </c>
      <c r="AC84" s="22">
        <f>IFERROR(IF(Mass_Data[[#This Row],[Check (1)]]="YES",Mass_Data[[#This Row],[MDL axle group 1 mass]],Mass_Data[[#This Row],[MDL axle group 1 mass]]-(Mass_Data[[#This Row],[Difference between MDL and GCM]]*(Mass_Data[[#This Row],[MDL axle group 1 mass]]/Mass_Data[[#This Row],[Total (1)]]))),"")</f>
        <v>6.5</v>
      </c>
      <c r="AD84" s="22">
        <f>IFERROR(IF(Mass_Data[[#This Row],[Check (1)]]="YES",Mass_Data[[#This Row],[MDL axle group 2 mass]],Mass_Data[[#This Row],[MDL axle group 2 mass]]-(Mass_Data[[#This Row],[Difference between MDL and GCM]]*(Mass_Data[[#This Row],[MDL axle group 2 mass]]/Mass_Data[[#This Row],[Total (1)]]))),"")</f>
        <v>17</v>
      </c>
      <c r="AE84" s="22">
        <f>IFERROR(IF(Mass_Data[[#This Row],[Check (1)]]="YES",Mass_Data[[#This Row],[MDL axle group 3 mass]],Mass_Data[[#This Row],[MDL axle group 3 mass]]-(Mass_Data[[#This Row],[Difference between MDL and GCM]]*(Mass_Data[[#This Row],[MDL axle group 3 mass]]/Mass_Data[[#This Row],[Total (1)]]))),"")</f>
        <v>27</v>
      </c>
      <c r="AF84" s="22">
        <f>IFERROR(IF(Mass_Data[[#This Row],[Check (1)]]="YES",Mass_Data[[#This Row],[MDL axle group 4 mass]],Mass_Data[[#This Row],[MDL axle group 4 mass]]-(Mass_Data[[#This Row],[Difference between MDL and GCM]]*(Mass_Data[[#This Row],[MDL axle group 4 mass]]/Mass_Data[[#This Row],[Total (1)]]))),"")</f>
        <v>27</v>
      </c>
      <c r="AG84" s="22" t="str">
        <f>IFERROR(IF(Mass_Data[[#This Row],[Check (1)]]="YES",Mass_Data[[#This Row],[MDL axle group 5 mass]],Mass_Data[[#This Row],[MDL axle group 5 mass]]-(Mass_Data[[#This Row],[Difference between MDL and GCM]]*(Mass_Data[[#This Row],[MDL axle group 5 mass]]/Mass_Data[[#This Row],[Total (1)]]))),"")</f>
        <v/>
      </c>
      <c r="AH84" s="22" t="str">
        <f>IFERROR(IF(Mass_Data[[#This Row],[Check (1)]]="YES",Mass_Data[[#This Row],[MDL axle group 6 mass]],Mass_Data[[#This Row],[MDL axle group 6 mass]]-(Mass_Data[[#This Row],[Difference between MDL and GCM]]*(Mass_Data[[#This Row],[MDL axle group 6 mass]]/Mass_Data[[#This Row],[Total (1)]]))),"")</f>
        <v/>
      </c>
      <c r="AI84" s="22" t="str">
        <f>IFERROR(IF(Mass_Data[[#This Row],[Check (1)]]="YES",Mass_Data[[#This Row],[MDL axle group 7 mass]],Mass_Data[[#This Row],[MDL axle group 7 mass]]-(Mass_Data[[#This Row],[Difference between MDL and GCM]]*(Mass_Data[[#This Row],[MDL axle group 7 mass]]/Mass_Data[[#This Row],[Total (1)]]))),"")</f>
        <v/>
      </c>
      <c r="AJ84" s="81">
        <f>SUM(Mass_Data[[#This Row],[Corrected axle group 1 mass]:[Corrected axle group 7 mass]])</f>
        <v>77.5</v>
      </c>
      <c r="AK84">
        <f>Mass_Data[[#This Row],[Total (2)]]-Mass_Data[[#This Row],[GCM (t)]]</f>
        <v>0</v>
      </c>
      <c r="AL84" s="22" t="str">
        <f>IF(Mass_Data[[#This Row],[Difference between MDL and corrected axle masses]]=0,"YES","NO")</f>
        <v>YES</v>
      </c>
    </row>
    <row r="85" spans="3:38" x14ac:dyDescent="0.35">
      <c r="C85" s="10" t="str">
        <f t="shared" si="1"/>
        <v>PBS - 3-axle prime mover B-double (4-4) (GML): 3</v>
      </c>
      <c r="D85" s="10" t="s">
        <v>148</v>
      </c>
      <c r="E85" s="10" t="s">
        <v>147</v>
      </c>
      <c r="F85" s="10" t="s">
        <v>18</v>
      </c>
      <c r="G85" s="10" t="s">
        <v>5</v>
      </c>
      <c r="H85" t="s">
        <v>66</v>
      </c>
      <c r="I85" s="9">
        <v>63</v>
      </c>
      <c r="J85" s="14">
        <v>32.927578816325742</v>
      </c>
      <c r="K85" s="14">
        <f>Mass_Data[[#This Row],[GCM (t)]]-Mass_Data[[#This Row],[Payload (t)]]</f>
        <v>30.072421183674258</v>
      </c>
      <c r="L85" t="s">
        <v>8</v>
      </c>
      <c r="M85" t="s">
        <v>9</v>
      </c>
      <c r="N85" t="s">
        <v>39</v>
      </c>
      <c r="O85" t="s">
        <v>39</v>
      </c>
      <c r="P85">
        <v>0</v>
      </c>
      <c r="Q85">
        <v>0</v>
      </c>
      <c r="R85">
        <v>0</v>
      </c>
      <c r="S85" cm="1">
        <f t="array" ref="S85">_xlfn.XLOOKUP(Mass_Data[[#This Row],[axle group 1]]&amp;Mass_Data[[#This Row],[Mass Scheme]],Axle_Data[Axle Code]&amp;Axle_Data[Mass Scheme],Axle_Data[MDL Maximum Mass (t)],"",0)</f>
        <v>6.5</v>
      </c>
      <c r="T85" cm="1">
        <f t="array" ref="T85">_xlfn.XLOOKUP(Mass_Data[[#This Row],[axle group 2]]&amp;Mass_Data[[#This Row],[Mass Scheme]],Axle_Data[Axle Code]&amp;Axle_Data[Mass Scheme],Axle_Data[MDL Maximum Mass (t)],"",0)</f>
        <v>16.5</v>
      </c>
      <c r="U85" cm="1">
        <f t="array" ref="U85">_xlfn.XLOOKUP(Mass_Data[[#This Row],[axle group 3]]&amp;Mass_Data[[#This Row],[Mass Scheme]],Axle_Data[Axle Code]&amp;Axle_Data[Mass Scheme],Axle_Data[MDL Maximum Mass (t)],"",0)</f>
        <v>20</v>
      </c>
      <c r="V85" cm="1">
        <f t="array" ref="V85">_xlfn.XLOOKUP(Mass_Data[[#This Row],[axle group 4]]&amp;Mass_Data[[#This Row],[Mass Scheme]],Axle_Data[Axle Code]&amp;Axle_Data[Mass Scheme],Axle_Data[MDL Maximum Mass (t)],"",0)</f>
        <v>20</v>
      </c>
      <c r="W85" t="str" cm="1">
        <f t="array" ref="W85">_xlfn.XLOOKUP(Mass_Data[[#This Row],[axle group 5]]&amp;Mass_Data[[#This Row],[Mass Scheme]],Axle_Data[Axle Code]&amp;Axle_Data[Mass Scheme],Axle_Data[MDL Maximum Mass (t)],"",0)</f>
        <v/>
      </c>
      <c r="X85" t="str" cm="1">
        <f t="array" ref="X85">_xlfn.XLOOKUP(Mass_Data[[#This Row],[axle group 6]]&amp;Mass_Data[[#This Row],[Mass Scheme]],Axle_Data[Axle Code]&amp;Axle_Data[Mass Scheme],Axle_Data[MDL Maximum Mass (t)],"",0)</f>
        <v/>
      </c>
      <c r="Y85" t="str" cm="1">
        <f t="array" ref="Y85">_xlfn.XLOOKUP(Mass_Data[[#This Row],[axle group 7]]&amp;Mass_Data[[#This Row],[Mass Scheme]],Axle_Data[Axle Code]&amp;Axle_Data[Mass Scheme],Axle_Data[MDL Maximum Mass (t)],"",0)</f>
        <v/>
      </c>
      <c r="Z85" s="81">
        <f>SUM(Mass_Data[[#This Row],[MDL axle group 1 mass]:[MDL axle group 7 mass]])</f>
        <v>63</v>
      </c>
      <c r="AA85">
        <f>Mass_Data[[#This Row],[Total (1)]]-Mass_Data[[#This Row],[GCM (t)]]</f>
        <v>0</v>
      </c>
      <c r="AB85" t="str">
        <f>IF(Mass_Data[[#This Row],[Difference between MDL and GCM]]=0,"YES","NO")</f>
        <v>YES</v>
      </c>
      <c r="AC85" s="22">
        <f>IFERROR(IF(Mass_Data[[#This Row],[Check (1)]]="YES",Mass_Data[[#This Row],[MDL axle group 1 mass]],Mass_Data[[#This Row],[MDL axle group 1 mass]]-(Mass_Data[[#This Row],[Difference between MDL and GCM]]*(Mass_Data[[#This Row],[MDL axle group 1 mass]]/Mass_Data[[#This Row],[Total (1)]]))),"")</f>
        <v>6.5</v>
      </c>
      <c r="AD85" s="22">
        <f>IFERROR(IF(Mass_Data[[#This Row],[Check (1)]]="YES",Mass_Data[[#This Row],[MDL axle group 2 mass]],Mass_Data[[#This Row],[MDL axle group 2 mass]]-(Mass_Data[[#This Row],[Difference between MDL and GCM]]*(Mass_Data[[#This Row],[MDL axle group 2 mass]]/Mass_Data[[#This Row],[Total (1)]]))),"")</f>
        <v>16.5</v>
      </c>
      <c r="AE85" s="22">
        <f>IFERROR(IF(Mass_Data[[#This Row],[Check (1)]]="YES",Mass_Data[[#This Row],[MDL axle group 3 mass]],Mass_Data[[#This Row],[MDL axle group 3 mass]]-(Mass_Data[[#This Row],[Difference between MDL and GCM]]*(Mass_Data[[#This Row],[MDL axle group 3 mass]]/Mass_Data[[#This Row],[Total (1)]]))),"")</f>
        <v>20</v>
      </c>
      <c r="AF85" s="22">
        <f>IFERROR(IF(Mass_Data[[#This Row],[Check (1)]]="YES",Mass_Data[[#This Row],[MDL axle group 4 mass]],Mass_Data[[#This Row],[MDL axle group 4 mass]]-(Mass_Data[[#This Row],[Difference between MDL and GCM]]*(Mass_Data[[#This Row],[MDL axle group 4 mass]]/Mass_Data[[#This Row],[Total (1)]]))),"")</f>
        <v>20</v>
      </c>
      <c r="AG85" s="22" t="str">
        <f>IFERROR(IF(Mass_Data[[#This Row],[Check (1)]]="YES",Mass_Data[[#This Row],[MDL axle group 5 mass]],Mass_Data[[#This Row],[MDL axle group 5 mass]]-(Mass_Data[[#This Row],[Difference between MDL and GCM]]*(Mass_Data[[#This Row],[MDL axle group 5 mass]]/Mass_Data[[#This Row],[Total (1)]]))),"")</f>
        <v/>
      </c>
      <c r="AH85" s="22" t="str">
        <f>IFERROR(IF(Mass_Data[[#This Row],[Check (1)]]="YES",Mass_Data[[#This Row],[MDL axle group 6 mass]],Mass_Data[[#This Row],[MDL axle group 6 mass]]-(Mass_Data[[#This Row],[Difference between MDL and GCM]]*(Mass_Data[[#This Row],[MDL axle group 6 mass]]/Mass_Data[[#This Row],[Total (1)]]))),"")</f>
        <v/>
      </c>
      <c r="AI85" s="22" t="str">
        <f>IFERROR(IF(Mass_Data[[#This Row],[Check (1)]]="YES",Mass_Data[[#This Row],[MDL axle group 7 mass]],Mass_Data[[#This Row],[MDL axle group 7 mass]]-(Mass_Data[[#This Row],[Difference between MDL and GCM]]*(Mass_Data[[#This Row],[MDL axle group 7 mass]]/Mass_Data[[#This Row],[Total (1)]]))),"")</f>
        <v/>
      </c>
      <c r="AJ85" s="81">
        <f>SUM(Mass_Data[[#This Row],[Corrected axle group 1 mass]:[Corrected axle group 7 mass]])</f>
        <v>63</v>
      </c>
      <c r="AK85">
        <f>Mass_Data[[#This Row],[Total (2)]]-Mass_Data[[#This Row],[GCM (t)]]</f>
        <v>0</v>
      </c>
      <c r="AL85" s="22" t="str">
        <f>IF(Mass_Data[[#This Row],[Difference between MDL and corrected axle masses]]=0,"YES","NO")</f>
        <v>YES</v>
      </c>
    </row>
    <row r="86" spans="3:38" x14ac:dyDescent="0.35">
      <c r="C86" s="10" t="str">
        <f t="shared" si="1"/>
        <v>PBS - 3-axle prime mover B-double (4-4) (CML): 3</v>
      </c>
      <c r="D86" s="10" t="s">
        <v>148</v>
      </c>
      <c r="E86" s="10" t="s">
        <v>147</v>
      </c>
      <c r="F86" s="10" t="s">
        <v>20</v>
      </c>
      <c r="G86" s="10" t="s">
        <v>5</v>
      </c>
      <c r="H86" t="s">
        <v>66</v>
      </c>
      <c r="I86" s="9">
        <v>65</v>
      </c>
      <c r="J86" s="14">
        <v>34.927578816325742</v>
      </c>
      <c r="K86" s="14">
        <f>Mass_Data[[#This Row],[GCM (t)]]-Mass_Data[[#This Row],[Payload (t)]]</f>
        <v>30.072421183674258</v>
      </c>
      <c r="L86" t="s">
        <v>8</v>
      </c>
      <c r="M86" t="s">
        <v>9</v>
      </c>
      <c r="N86" t="s">
        <v>39</v>
      </c>
      <c r="O86" t="s">
        <v>39</v>
      </c>
      <c r="P86">
        <v>0</v>
      </c>
      <c r="Q86">
        <v>0</v>
      </c>
      <c r="R86">
        <v>0</v>
      </c>
      <c r="S86" cm="1">
        <f t="array" ref="S86">_xlfn.XLOOKUP(Mass_Data[[#This Row],[axle group 1]]&amp;Mass_Data[[#This Row],[Mass Scheme]],Axle_Data[Axle Code]&amp;Axle_Data[Mass Scheme],Axle_Data[MDL Maximum Mass (t)],"",0)</f>
        <v>6.5</v>
      </c>
      <c r="T86" cm="1">
        <f t="array" ref="T86">_xlfn.XLOOKUP(Mass_Data[[#This Row],[axle group 2]]&amp;Mass_Data[[#This Row],[Mass Scheme]],Axle_Data[Axle Code]&amp;Axle_Data[Mass Scheme],Axle_Data[MDL Maximum Mass (t)],"",0)</f>
        <v>17</v>
      </c>
      <c r="U86" cm="1">
        <f t="array" ref="U86">_xlfn.XLOOKUP(Mass_Data[[#This Row],[axle group 3]]&amp;Mass_Data[[#This Row],[Mass Scheme]],Axle_Data[Axle Code]&amp;Axle_Data[Mass Scheme],Axle_Data[MDL Maximum Mass (t)],"",0)</f>
        <v>21</v>
      </c>
      <c r="V86" cm="1">
        <f t="array" ref="V86">_xlfn.XLOOKUP(Mass_Data[[#This Row],[axle group 4]]&amp;Mass_Data[[#This Row],[Mass Scheme]],Axle_Data[Axle Code]&amp;Axle_Data[Mass Scheme],Axle_Data[MDL Maximum Mass (t)],"",0)</f>
        <v>21</v>
      </c>
      <c r="W86" t="str" cm="1">
        <f t="array" ref="W86">_xlfn.XLOOKUP(Mass_Data[[#This Row],[axle group 5]]&amp;Mass_Data[[#This Row],[Mass Scheme]],Axle_Data[Axle Code]&amp;Axle_Data[Mass Scheme],Axle_Data[MDL Maximum Mass (t)],"",0)</f>
        <v/>
      </c>
      <c r="X86" t="str" cm="1">
        <f t="array" ref="X86">_xlfn.XLOOKUP(Mass_Data[[#This Row],[axle group 6]]&amp;Mass_Data[[#This Row],[Mass Scheme]],Axle_Data[Axle Code]&amp;Axle_Data[Mass Scheme],Axle_Data[MDL Maximum Mass (t)],"",0)</f>
        <v/>
      </c>
      <c r="Y86" t="str" cm="1">
        <f t="array" ref="Y86">_xlfn.XLOOKUP(Mass_Data[[#This Row],[axle group 7]]&amp;Mass_Data[[#This Row],[Mass Scheme]],Axle_Data[Axle Code]&amp;Axle_Data[Mass Scheme],Axle_Data[MDL Maximum Mass (t)],"",0)</f>
        <v/>
      </c>
      <c r="Z86" s="81">
        <f>SUM(Mass_Data[[#This Row],[MDL axle group 1 mass]:[MDL axle group 7 mass]])</f>
        <v>65.5</v>
      </c>
      <c r="AA86">
        <f>Mass_Data[[#This Row],[Total (1)]]-Mass_Data[[#This Row],[GCM (t)]]</f>
        <v>0.5</v>
      </c>
      <c r="AB86" t="str">
        <f>IF(Mass_Data[[#This Row],[Difference between MDL and GCM]]=0,"YES","NO")</f>
        <v>NO</v>
      </c>
      <c r="AC86" s="22">
        <f>IFERROR(IF(Mass_Data[[#This Row],[Check (1)]]="YES",Mass_Data[[#This Row],[MDL axle group 1 mass]],Mass_Data[[#This Row],[MDL axle group 1 mass]]-(Mass_Data[[#This Row],[Difference between MDL and GCM]]*(Mass_Data[[#This Row],[MDL axle group 1 mass]]/Mass_Data[[#This Row],[Total (1)]]))),"")</f>
        <v>6.4503816793893129</v>
      </c>
      <c r="AD86" s="22">
        <f>IFERROR(IF(Mass_Data[[#This Row],[Check (1)]]="YES",Mass_Data[[#This Row],[MDL axle group 2 mass]],Mass_Data[[#This Row],[MDL axle group 2 mass]]-(Mass_Data[[#This Row],[Difference between MDL and GCM]]*(Mass_Data[[#This Row],[MDL axle group 2 mass]]/Mass_Data[[#This Row],[Total (1)]]))),"")</f>
        <v>16.870229007633586</v>
      </c>
      <c r="AE86" s="22">
        <f>IFERROR(IF(Mass_Data[[#This Row],[Check (1)]]="YES",Mass_Data[[#This Row],[MDL axle group 3 mass]],Mass_Data[[#This Row],[MDL axle group 3 mass]]-(Mass_Data[[#This Row],[Difference between MDL and GCM]]*(Mass_Data[[#This Row],[MDL axle group 3 mass]]/Mass_Data[[#This Row],[Total (1)]]))),"")</f>
        <v>20.83969465648855</v>
      </c>
      <c r="AF86" s="22">
        <f>IFERROR(IF(Mass_Data[[#This Row],[Check (1)]]="YES",Mass_Data[[#This Row],[MDL axle group 4 mass]],Mass_Data[[#This Row],[MDL axle group 4 mass]]-(Mass_Data[[#This Row],[Difference between MDL and GCM]]*(Mass_Data[[#This Row],[MDL axle group 4 mass]]/Mass_Data[[#This Row],[Total (1)]]))),"")</f>
        <v>20.83969465648855</v>
      </c>
      <c r="AG86" s="22" t="str">
        <f>IFERROR(IF(Mass_Data[[#This Row],[Check (1)]]="YES",Mass_Data[[#This Row],[MDL axle group 5 mass]],Mass_Data[[#This Row],[MDL axle group 5 mass]]-(Mass_Data[[#This Row],[Difference between MDL and GCM]]*(Mass_Data[[#This Row],[MDL axle group 5 mass]]/Mass_Data[[#This Row],[Total (1)]]))),"")</f>
        <v/>
      </c>
      <c r="AH86" s="22" t="str">
        <f>IFERROR(IF(Mass_Data[[#This Row],[Check (1)]]="YES",Mass_Data[[#This Row],[MDL axle group 6 mass]],Mass_Data[[#This Row],[MDL axle group 6 mass]]-(Mass_Data[[#This Row],[Difference between MDL and GCM]]*(Mass_Data[[#This Row],[MDL axle group 6 mass]]/Mass_Data[[#This Row],[Total (1)]]))),"")</f>
        <v/>
      </c>
      <c r="AI86" s="22" t="str">
        <f>IFERROR(IF(Mass_Data[[#This Row],[Check (1)]]="YES",Mass_Data[[#This Row],[MDL axle group 7 mass]],Mass_Data[[#This Row],[MDL axle group 7 mass]]-(Mass_Data[[#This Row],[Difference between MDL and GCM]]*(Mass_Data[[#This Row],[MDL axle group 7 mass]]/Mass_Data[[#This Row],[Total (1)]]))),"")</f>
        <v/>
      </c>
      <c r="AJ86" s="81">
        <f>SUM(Mass_Data[[#This Row],[Corrected axle group 1 mass]:[Corrected axle group 7 mass]])</f>
        <v>65</v>
      </c>
      <c r="AK86">
        <f>Mass_Data[[#This Row],[Total (2)]]-Mass_Data[[#This Row],[GCM (t)]]</f>
        <v>0</v>
      </c>
      <c r="AL86" s="22" t="str">
        <f>IF(Mass_Data[[#This Row],[Difference between MDL and corrected axle masses]]=0,"YES","NO")</f>
        <v>YES</v>
      </c>
    </row>
    <row r="87" spans="3:38" x14ac:dyDescent="0.35">
      <c r="C87" s="10" t="str">
        <f t="shared" si="1"/>
        <v>PBS - 3-axle prime mover B-double (4-4) (HML): 3</v>
      </c>
      <c r="D87" s="10" t="s">
        <v>148</v>
      </c>
      <c r="E87" s="10" t="s">
        <v>147</v>
      </c>
      <c r="F87" s="10" t="s">
        <v>7</v>
      </c>
      <c r="G87" s="10" t="s">
        <v>5</v>
      </c>
      <c r="H87" t="s">
        <v>66</v>
      </c>
      <c r="I87" s="9">
        <v>77.5</v>
      </c>
      <c r="J87" s="14">
        <v>47.427578816325742</v>
      </c>
      <c r="K87" s="14">
        <f>Mass_Data[[#This Row],[GCM (t)]]-Mass_Data[[#This Row],[Payload (t)]]</f>
        <v>30.072421183674258</v>
      </c>
      <c r="L87" t="s">
        <v>8</v>
      </c>
      <c r="M87" t="s">
        <v>9</v>
      </c>
      <c r="N87" t="s">
        <v>39</v>
      </c>
      <c r="O87" t="s">
        <v>39</v>
      </c>
      <c r="P87">
        <v>0</v>
      </c>
      <c r="Q87">
        <v>0</v>
      </c>
      <c r="R87">
        <v>0</v>
      </c>
      <c r="S87" cm="1">
        <f t="array" ref="S87">_xlfn.XLOOKUP(Mass_Data[[#This Row],[axle group 1]]&amp;Mass_Data[[#This Row],[Mass Scheme]],Axle_Data[Axle Code]&amp;Axle_Data[Mass Scheme],Axle_Data[MDL Maximum Mass (t)],"",0)</f>
        <v>6.5</v>
      </c>
      <c r="T87" cm="1">
        <f t="array" ref="T87">_xlfn.XLOOKUP(Mass_Data[[#This Row],[axle group 2]]&amp;Mass_Data[[#This Row],[Mass Scheme]],Axle_Data[Axle Code]&amp;Axle_Data[Mass Scheme],Axle_Data[MDL Maximum Mass (t)],"",0)</f>
        <v>17</v>
      </c>
      <c r="U87" cm="1">
        <f t="array" ref="U87">_xlfn.XLOOKUP(Mass_Data[[#This Row],[axle group 3]]&amp;Mass_Data[[#This Row],[Mass Scheme]],Axle_Data[Axle Code]&amp;Axle_Data[Mass Scheme],Axle_Data[MDL Maximum Mass (t)],"",0)</f>
        <v>27</v>
      </c>
      <c r="V87" cm="1">
        <f t="array" ref="V87">_xlfn.XLOOKUP(Mass_Data[[#This Row],[axle group 4]]&amp;Mass_Data[[#This Row],[Mass Scheme]],Axle_Data[Axle Code]&amp;Axle_Data[Mass Scheme],Axle_Data[MDL Maximum Mass (t)],"",0)</f>
        <v>27</v>
      </c>
      <c r="W87" t="str" cm="1">
        <f t="array" ref="W87">_xlfn.XLOOKUP(Mass_Data[[#This Row],[axle group 5]]&amp;Mass_Data[[#This Row],[Mass Scheme]],Axle_Data[Axle Code]&amp;Axle_Data[Mass Scheme],Axle_Data[MDL Maximum Mass (t)],"",0)</f>
        <v/>
      </c>
      <c r="X87" t="str" cm="1">
        <f t="array" ref="X87">_xlfn.XLOOKUP(Mass_Data[[#This Row],[axle group 6]]&amp;Mass_Data[[#This Row],[Mass Scheme]],Axle_Data[Axle Code]&amp;Axle_Data[Mass Scheme],Axle_Data[MDL Maximum Mass (t)],"",0)</f>
        <v/>
      </c>
      <c r="Y87" t="str" cm="1">
        <f t="array" ref="Y87">_xlfn.XLOOKUP(Mass_Data[[#This Row],[axle group 7]]&amp;Mass_Data[[#This Row],[Mass Scheme]],Axle_Data[Axle Code]&amp;Axle_Data[Mass Scheme],Axle_Data[MDL Maximum Mass (t)],"",0)</f>
        <v/>
      </c>
      <c r="Z87" s="81">
        <f>SUM(Mass_Data[[#This Row],[MDL axle group 1 mass]:[MDL axle group 7 mass]])</f>
        <v>77.5</v>
      </c>
      <c r="AA87">
        <f>Mass_Data[[#This Row],[Total (1)]]-Mass_Data[[#This Row],[GCM (t)]]</f>
        <v>0</v>
      </c>
      <c r="AB87" t="str">
        <f>IF(Mass_Data[[#This Row],[Difference between MDL and GCM]]=0,"YES","NO")</f>
        <v>YES</v>
      </c>
      <c r="AC87" s="22">
        <f>IFERROR(IF(Mass_Data[[#This Row],[Check (1)]]="YES",Mass_Data[[#This Row],[MDL axle group 1 mass]],Mass_Data[[#This Row],[MDL axle group 1 mass]]-(Mass_Data[[#This Row],[Difference between MDL and GCM]]*(Mass_Data[[#This Row],[MDL axle group 1 mass]]/Mass_Data[[#This Row],[Total (1)]]))),"")</f>
        <v>6.5</v>
      </c>
      <c r="AD87" s="22">
        <f>IFERROR(IF(Mass_Data[[#This Row],[Check (1)]]="YES",Mass_Data[[#This Row],[MDL axle group 2 mass]],Mass_Data[[#This Row],[MDL axle group 2 mass]]-(Mass_Data[[#This Row],[Difference between MDL and GCM]]*(Mass_Data[[#This Row],[MDL axle group 2 mass]]/Mass_Data[[#This Row],[Total (1)]]))),"")</f>
        <v>17</v>
      </c>
      <c r="AE87" s="22">
        <f>IFERROR(IF(Mass_Data[[#This Row],[Check (1)]]="YES",Mass_Data[[#This Row],[MDL axle group 3 mass]],Mass_Data[[#This Row],[MDL axle group 3 mass]]-(Mass_Data[[#This Row],[Difference between MDL and GCM]]*(Mass_Data[[#This Row],[MDL axle group 3 mass]]/Mass_Data[[#This Row],[Total (1)]]))),"")</f>
        <v>27</v>
      </c>
      <c r="AF87" s="22">
        <f>IFERROR(IF(Mass_Data[[#This Row],[Check (1)]]="YES",Mass_Data[[#This Row],[MDL axle group 4 mass]],Mass_Data[[#This Row],[MDL axle group 4 mass]]-(Mass_Data[[#This Row],[Difference between MDL and GCM]]*(Mass_Data[[#This Row],[MDL axle group 4 mass]]/Mass_Data[[#This Row],[Total (1)]]))),"")</f>
        <v>27</v>
      </c>
      <c r="AG87" s="22" t="str">
        <f>IFERROR(IF(Mass_Data[[#This Row],[Check (1)]]="YES",Mass_Data[[#This Row],[MDL axle group 5 mass]],Mass_Data[[#This Row],[MDL axle group 5 mass]]-(Mass_Data[[#This Row],[Difference between MDL and GCM]]*(Mass_Data[[#This Row],[MDL axle group 5 mass]]/Mass_Data[[#This Row],[Total (1)]]))),"")</f>
        <v/>
      </c>
      <c r="AH87" s="22" t="str">
        <f>IFERROR(IF(Mass_Data[[#This Row],[Check (1)]]="YES",Mass_Data[[#This Row],[MDL axle group 6 mass]],Mass_Data[[#This Row],[MDL axle group 6 mass]]-(Mass_Data[[#This Row],[Difference between MDL and GCM]]*(Mass_Data[[#This Row],[MDL axle group 6 mass]]/Mass_Data[[#This Row],[Total (1)]]))),"")</f>
        <v/>
      </c>
      <c r="AI87" s="22" t="str">
        <f>IFERROR(IF(Mass_Data[[#This Row],[Check (1)]]="YES",Mass_Data[[#This Row],[MDL axle group 7 mass]],Mass_Data[[#This Row],[MDL axle group 7 mass]]-(Mass_Data[[#This Row],[Difference between MDL and GCM]]*(Mass_Data[[#This Row],[MDL axle group 7 mass]]/Mass_Data[[#This Row],[Total (1)]]))),"")</f>
        <v/>
      </c>
      <c r="AJ87" s="81">
        <f>SUM(Mass_Data[[#This Row],[Corrected axle group 1 mass]:[Corrected axle group 7 mass]])</f>
        <v>77.5</v>
      </c>
      <c r="AK87">
        <f>Mass_Data[[#This Row],[Total (2)]]-Mass_Data[[#This Row],[GCM (t)]]</f>
        <v>0</v>
      </c>
      <c r="AL87" s="22" t="str">
        <f>IF(Mass_Data[[#This Row],[Difference between MDL and corrected axle masses]]=0,"YES","NO")</f>
        <v>YES</v>
      </c>
    </row>
    <row r="88" spans="3:38" x14ac:dyDescent="0.35">
      <c r="C88" s="10" t="str">
        <f t="shared" si="1"/>
        <v>PBS - 3-axle prime mover A-double (2-2-2) (GML): 2</v>
      </c>
      <c r="D88" s="10" t="s">
        <v>179</v>
      </c>
      <c r="E88" s="10" t="s">
        <v>147</v>
      </c>
      <c r="F88" s="10" t="s">
        <v>18</v>
      </c>
      <c r="G88" s="10" t="s">
        <v>4</v>
      </c>
      <c r="H88" t="s">
        <v>64</v>
      </c>
      <c r="I88" s="9">
        <v>72.5</v>
      </c>
      <c r="J88" s="14">
        <v>43.62873574865673</v>
      </c>
      <c r="K88" s="14">
        <f>Mass_Data[[#This Row],[GCM (t)]]-Mass_Data[[#This Row],[Payload (t)]]</f>
        <v>28.87126425134327</v>
      </c>
      <c r="L88" t="s">
        <v>8</v>
      </c>
      <c r="M88" t="s">
        <v>9</v>
      </c>
      <c r="N88" t="s">
        <v>30</v>
      </c>
      <c r="O88" t="s">
        <v>30</v>
      </c>
      <c r="P88" t="s">
        <v>30</v>
      </c>
      <c r="Q88">
        <v>0</v>
      </c>
      <c r="R88">
        <v>0</v>
      </c>
      <c r="S88" cm="1">
        <f t="array" ref="S88">_xlfn.XLOOKUP(Mass_Data[[#This Row],[axle group 1]]&amp;Mass_Data[[#This Row],[Mass Scheme]],Axle_Data[Axle Code]&amp;Axle_Data[Mass Scheme],Axle_Data[MDL Maximum Mass (t)],"",0)</f>
        <v>6.5</v>
      </c>
      <c r="T88" cm="1">
        <f t="array" ref="T88">_xlfn.XLOOKUP(Mass_Data[[#This Row],[axle group 2]]&amp;Mass_Data[[#This Row],[Mass Scheme]],Axle_Data[Axle Code]&amp;Axle_Data[Mass Scheme],Axle_Data[MDL Maximum Mass (t)],"",0)</f>
        <v>16.5</v>
      </c>
      <c r="U88" cm="1">
        <f t="array" ref="U88">_xlfn.XLOOKUP(Mass_Data[[#This Row],[axle group 3]]&amp;Mass_Data[[#This Row],[Mass Scheme]],Axle_Data[Axle Code]&amp;Axle_Data[Mass Scheme],Axle_Data[MDL Maximum Mass (t)],"",0)</f>
        <v>16.5</v>
      </c>
      <c r="V88" cm="1">
        <f t="array" ref="V88">_xlfn.XLOOKUP(Mass_Data[[#This Row],[axle group 4]]&amp;Mass_Data[[#This Row],[Mass Scheme]],Axle_Data[Axle Code]&amp;Axle_Data[Mass Scheme],Axle_Data[MDL Maximum Mass (t)],"",0)</f>
        <v>16.5</v>
      </c>
      <c r="W88" cm="1">
        <f t="array" ref="W88">_xlfn.XLOOKUP(Mass_Data[[#This Row],[axle group 5]]&amp;Mass_Data[[#This Row],[Mass Scheme]],Axle_Data[Axle Code]&amp;Axle_Data[Mass Scheme],Axle_Data[MDL Maximum Mass (t)],"",0)</f>
        <v>16.5</v>
      </c>
      <c r="X88" t="str" cm="1">
        <f t="array" ref="X88">_xlfn.XLOOKUP(Mass_Data[[#This Row],[axle group 6]]&amp;Mass_Data[[#This Row],[Mass Scheme]],Axle_Data[Axle Code]&amp;Axle_Data[Mass Scheme],Axle_Data[MDL Maximum Mass (t)],"",0)</f>
        <v/>
      </c>
      <c r="Y88" t="str" cm="1">
        <f t="array" ref="Y88">_xlfn.XLOOKUP(Mass_Data[[#This Row],[axle group 7]]&amp;Mass_Data[[#This Row],[Mass Scheme]],Axle_Data[Axle Code]&amp;Axle_Data[Mass Scheme],Axle_Data[MDL Maximum Mass (t)],"",0)</f>
        <v/>
      </c>
      <c r="Z88" s="81">
        <f>SUM(Mass_Data[[#This Row],[MDL axle group 1 mass]:[MDL axle group 7 mass]])</f>
        <v>72.5</v>
      </c>
      <c r="AA88">
        <f>Mass_Data[[#This Row],[Total (1)]]-Mass_Data[[#This Row],[GCM (t)]]</f>
        <v>0</v>
      </c>
      <c r="AB88" t="str">
        <f>IF(Mass_Data[[#This Row],[Difference between MDL and GCM]]=0,"YES","NO")</f>
        <v>YES</v>
      </c>
      <c r="AC88" s="22">
        <f>IFERROR(IF(Mass_Data[[#This Row],[Check (1)]]="YES",Mass_Data[[#This Row],[MDL axle group 1 mass]],Mass_Data[[#This Row],[MDL axle group 1 mass]]-(Mass_Data[[#This Row],[Difference between MDL and GCM]]*(Mass_Data[[#This Row],[MDL axle group 1 mass]]/Mass_Data[[#This Row],[Total (1)]]))),"")</f>
        <v>6.5</v>
      </c>
      <c r="AD88" s="22">
        <f>IFERROR(IF(Mass_Data[[#This Row],[Check (1)]]="YES",Mass_Data[[#This Row],[MDL axle group 2 mass]],Mass_Data[[#This Row],[MDL axle group 2 mass]]-(Mass_Data[[#This Row],[Difference between MDL and GCM]]*(Mass_Data[[#This Row],[MDL axle group 2 mass]]/Mass_Data[[#This Row],[Total (1)]]))),"")</f>
        <v>16.5</v>
      </c>
      <c r="AE88" s="22">
        <f>IFERROR(IF(Mass_Data[[#This Row],[Check (1)]]="YES",Mass_Data[[#This Row],[MDL axle group 3 mass]],Mass_Data[[#This Row],[MDL axle group 3 mass]]-(Mass_Data[[#This Row],[Difference between MDL and GCM]]*(Mass_Data[[#This Row],[MDL axle group 3 mass]]/Mass_Data[[#This Row],[Total (1)]]))),"")</f>
        <v>16.5</v>
      </c>
      <c r="AF88" s="22">
        <f>IFERROR(IF(Mass_Data[[#This Row],[Check (1)]]="YES",Mass_Data[[#This Row],[MDL axle group 4 mass]],Mass_Data[[#This Row],[MDL axle group 4 mass]]-(Mass_Data[[#This Row],[Difference between MDL and GCM]]*(Mass_Data[[#This Row],[MDL axle group 4 mass]]/Mass_Data[[#This Row],[Total (1)]]))),"")</f>
        <v>16.5</v>
      </c>
      <c r="AG88" s="22">
        <f>IFERROR(IF(Mass_Data[[#This Row],[Check (1)]]="YES",Mass_Data[[#This Row],[MDL axle group 5 mass]],Mass_Data[[#This Row],[MDL axle group 5 mass]]-(Mass_Data[[#This Row],[Difference between MDL and GCM]]*(Mass_Data[[#This Row],[MDL axle group 5 mass]]/Mass_Data[[#This Row],[Total (1)]]))),"")</f>
        <v>16.5</v>
      </c>
      <c r="AH88" s="22" t="str">
        <f>IFERROR(IF(Mass_Data[[#This Row],[Check (1)]]="YES",Mass_Data[[#This Row],[MDL axle group 6 mass]],Mass_Data[[#This Row],[MDL axle group 6 mass]]-(Mass_Data[[#This Row],[Difference between MDL and GCM]]*(Mass_Data[[#This Row],[MDL axle group 6 mass]]/Mass_Data[[#This Row],[Total (1)]]))),"")</f>
        <v/>
      </c>
      <c r="AI88" s="22" t="str">
        <f>IFERROR(IF(Mass_Data[[#This Row],[Check (1)]]="YES",Mass_Data[[#This Row],[MDL axle group 7 mass]],Mass_Data[[#This Row],[MDL axle group 7 mass]]-(Mass_Data[[#This Row],[Difference between MDL and GCM]]*(Mass_Data[[#This Row],[MDL axle group 7 mass]]/Mass_Data[[#This Row],[Total (1)]]))),"")</f>
        <v/>
      </c>
      <c r="AJ88" s="81">
        <f>SUM(Mass_Data[[#This Row],[Corrected axle group 1 mass]:[Corrected axle group 7 mass]])</f>
        <v>72.5</v>
      </c>
      <c r="AK88">
        <f>Mass_Data[[#This Row],[Total (2)]]-Mass_Data[[#This Row],[GCM (t)]]</f>
        <v>0</v>
      </c>
      <c r="AL88" s="22" t="str">
        <f>IF(Mass_Data[[#This Row],[Difference between MDL and corrected axle masses]]=0,"YES","NO")</f>
        <v>YES</v>
      </c>
    </row>
    <row r="89" spans="3:38" x14ac:dyDescent="0.35">
      <c r="C89" s="10" t="str">
        <f t="shared" si="1"/>
        <v>PBS - 3-axle prime mover A-double (2-2-2) (CML): 2</v>
      </c>
      <c r="D89" s="10" t="s">
        <v>179</v>
      </c>
      <c r="E89" s="10" t="s">
        <v>147</v>
      </c>
      <c r="F89" s="10" t="s">
        <v>20</v>
      </c>
      <c r="G89" s="10" t="s">
        <v>4</v>
      </c>
      <c r="H89" t="s">
        <v>64</v>
      </c>
      <c r="I89" s="9">
        <v>74.5</v>
      </c>
      <c r="J89" s="14">
        <v>45.62873574865673</v>
      </c>
      <c r="K89" s="14">
        <f>Mass_Data[[#This Row],[GCM (t)]]-Mass_Data[[#This Row],[Payload (t)]]</f>
        <v>28.87126425134327</v>
      </c>
      <c r="L89" t="s">
        <v>8</v>
      </c>
      <c r="M89" t="s">
        <v>9</v>
      </c>
      <c r="N89" t="s">
        <v>30</v>
      </c>
      <c r="O89" t="s">
        <v>30</v>
      </c>
      <c r="P89" t="s">
        <v>30</v>
      </c>
      <c r="Q89">
        <v>0</v>
      </c>
      <c r="R89">
        <v>0</v>
      </c>
      <c r="S89" cm="1">
        <f t="array" ref="S89">_xlfn.XLOOKUP(Mass_Data[[#This Row],[axle group 1]]&amp;Mass_Data[[#This Row],[Mass Scheme]],Axle_Data[Axle Code]&amp;Axle_Data[Mass Scheme],Axle_Data[MDL Maximum Mass (t)],"",0)</f>
        <v>6.5</v>
      </c>
      <c r="T89" cm="1">
        <f t="array" ref="T89">_xlfn.XLOOKUP(Mass_Data[[#This Row],[axle group 2]]&amp;Mass_Data[[#This Row],[Mass Scheme]],Axle_Data[Axle Code]&amp;Axle_Data[Mass Scheme],Axle_Data[MDL Maximum Mass (t)],"",0)</f>
        <v>17</v>
      </c>
      <c r="U89" cm="1">
        <f t="array" ref="U89">_xlfn.XLOOKUP(Mass_Data[[#This Row],[axle group 3]]&amp;Mass_Data[[#This Row],[Mass Scheme]],Axle_Data[Axle Code]&amp;Axle_Data[Mass Scheme],Axle_Data[MDL Maximum Mass (t)],"",0)</f>
        <v>17</v>
      </c>
      <c r="V89" cm="1">
        <f t="array" ref="V89">_xlfn.XLOOKUP(Mass_Data[[#This Row],[axle group 4]]&amp;Mass_Data[[#This Row],[Mass Scheme]],Axle_Data[Axle Code]&amp;Axle_Data[Mass Scheme],Axle_Data[MDL Maximum Mass (t)],"",0)</f>
        <v>17</v>
      </c>
      <c r="W89" cm="1">
        <f t="array" ref="W89">_xlfn.XLOOKUP(Mass_Data[[#This Row],[axle group 5]]&amp;Mass_Data[[#This Row],[Mass Scheme]],Axle_Data[Axle Code]&amp;Axle_Data[Mass Scheme],Axle_Data[MDL Maximum Mass (t)],"",0)</f>
        <v>17</v>
      </c>
      <c r="X89" t="str" cm="1">
        <f t="array" ref="X89">_xlfn.XLOOKUP(Mass_Data[[#This Row],[axle group 6]]&amp;Mass_Data[[#This Row],[Mass Scheme]],Axle_Data[Axle Code]&amp;Axle_Data[Mass Scheme],Axle_Data[MDL Maximum Mass (t)],"",0)</f>
        <v/>
      </c>
      <c r="Y89" t="str" cm="1">
        <f t="array" ref="Y89">_xlfn.XLOOKUP(Mass_Data[[#This Row],[axle group 7]]&amp;Mass_Data[[#This Row],[Mass Scheme]],Axle_Data[Axle Code]&amp;Axle_Data[Mass Scheme],Axle_Data[MDL Maximum Mass (t)],"",0)</f>
        <v/>
      </c>
      <c r="Z89" s="81">
        <f>SUM(Mass_Data[[#This Row],[MDL axle group 1 mass]:[MDL axle group 7 mass]])</f>
        <v>74.5</v>
      </c>
      <c r="AA89">
        <f>Mass_Data[[#This Row],[Total (1)]]-Mass_Data[[#This Row],[GCM (t)]]</f>
        <v>0</v>
      </c>
      <c r="AB89" t="str">
        <f>IF(Mass_Data[[#This Row],[Difference between MDL and GCM]]=0,"YES","NO")</f>
        <v>YES</v>
      </c>
      <c r="AC89" s="22">
        <f>IFERROR(IF(Mass_Data[[#This Row],[Check (1)]]="YES",Mass_Data[[#This Row],[MDL axle group 1 mass]],Mass_Data[[#This Row],[MDL axle group 1 mass]]-(Mass_Data[[#This Row],[Difference between MDL and GCM]]*(Mass_Data[[#This Row],[MDL axle group 1 mass]]/Mass_Data[[#This Row],[Total (1)]]))),"")</f>
        <v>6.5</v>
      </c>
      <c r="AD89" s="22">
        <f>IFERROR(IF(Mass_Data[[#This Row],[Check (1)]]="YES",Mass_Data[[#This Row],[MDL axle group 2 mass]],Mass_Data[[#This Row],[MDL axle group 2 mass]]-(Mass_Data[[#This Row],[Difference between MDL and GCM]]*(Mass_Data[[#This Row],[MDL axle group 2 mass]]/Mass_Data[[#This Row],[Total (1)]]))),"")</f>
        <v>17</v>
      </c>
      <c r="AE89" s="22">
        <f>IFERROR(IF(Mass_Data[[#This Row],[Check (1)]]="YES",Mass_Data[[#This Row],[MDL axle group 3 mass]],Mass_Data[[#This Row],[MDL axle group 3 mass]]-(Mass_Data[[#This Row],[Difference between MDL and GCM]]*(Mass_Data[[#This Row],[MDL axle group 3 mass]]/Mass_Data[[#This Row],[Total (1)]]))),"")</f>
        <v>17</v>
      </c>
      <c r="AF89" s="22">
        <f>IFERROR(IF(Mass_Data[[#This Row],[Check (1)]]="YES",Mass_Data[[#This Row],[MDL axle group 4 mass]],Mass_Data[[#This Row],[MDL axle group 4 mass]]-(Mass_Data[[#This Row],[Difference between MDL and GCM]]*(Mass_Data[[#This Row],[MDL axle group 4 mass]]/Mass_Data[[#This Row],[Total (1)]]))),"")</f>
        <v>17</v>
      </c>
      <c r="AG89" s="22">
        <f>IFERROR(IF(Mass_Data[[#This Row],[Check (1)]]="YES",Mass_Data[[#This Row],[MDL axle group 5 mass]],Mass_Data[[#This Row],[MDL axle group 5 mass]]-(Mass_Data[[#This Row],[Difference between MDL and GCM]]*(Mass_Data[[#This Row],[MDL axle group 5 mass]]/Mass_Data[[#This Row],[Total (1)]]))),"")</f>
        <v>17</v>
      </c>
      <c r="AH89" s="22" t="str">
        <f>IFERROR(IF(Mass_Data[[#This Row],[Check (1)]]="YES",Mass_Data[[#This Row],[MDL axle group 6 mass]],Mass_Data[[#This Row],[MDL axle group 6 mass]]-(Mass_Data[[#This Row],[Difference between MDL and GCM]]*(Mass_Data[[#This Row],[MDL axle group 6 mass]]/Mass_Data[[#This Row],[Total (1)]]))),"")</f>
        <v/>
      </c>
      <c r="AI89" s="22" t="str">
        <f>IFERROR(IF(Mass_Data[[#This Row],[Check (1)]]="YES",Mass_Data[[#This Row],[MDL axle group 7 mass]],Mass_Data[[#This Row],[MDL axle group 7 mass]]-(Mass_Data[[#This Row],[Difference between MDL and GCM]]*(Mass_Data[[#This Row],[MDL axle group 7 mass]]/Mass_Data[[#This Row],[Total (1)]]))),"")</f>
        <v/>
      </c>
      <c r="AJ89" s="81">
        <f>SUM(Mass_Data[[#This Row],[Corrected axle group 1 mass]:[Corrected axle group 7 mass]])</f>
        <v>74.5</v>
      </c>
      <c r="AK89">
        <f>Mass_Data[[#This Row],[Total (2)]]-Mass_Data[[#This Row],[GCM (t)]]</f>
        <v>0</v>
      </c>
      <c r="AL89" s="22" t="str">
        <f>IF(Mass_Data[[#This Row],[Difference between MDL and corrected axle masses]]=0,"YES","NO")</f>
        <v>YES</v>
      </c>
    </row>
    <row r="90" spans="3:38" x14ac:dyDescent="0.35">
      <c r="C90" s="10" t="str">
        <f t="shared" si="1"/>
        <v>PBS - 3-axle prime mover A-double (2-2-2) (HML): 2</v>
      </c>
      <c r="D90" s="10" t="s">
        <v>179</v>
      </c>
      <c r="E90" s="10" t="s">
        <v>147</v>
      </c>
      <c r="F90" s="10" t="s">
        <v>7</v>
      </c>
      <c r="G90" s="10" t="s">
        <v>4</v>
      </c>
      <c r="H90" t="s">
        <v>64</v>
      </c>
      <c r="I90" s="9">
        <v>74.5</v>
      </c>
      <c r="J90" s="14">
        <v>45.62873574865673</v>
      </c>
      <c r="K90" s="14">
        <f>Mass_Data[[#This Row],[GCM (t)]]-Mass_Data[[#This Row],[Payload (t)]]</f>
        <v>28.87126425134327</v>
      </c>
      <c r="L90" t="s">
        <v>8</v>
      </c>
      <c r="M90" t="s">
        <v>9</v>
      </c>
      <c r="N90" t="s">
        <v>30</v>
      </c>
      <c r="O90" t="s">
        <v>30</v>
      </c>
      <c r="P90" t="s">
        <v>30</v>
      </c>
      <c r="Q90">
        <v>0</v>
      </c>
      <c r="R90">
        <v>0</v>
      </c>
      <c r="S90" cm="1">
        <f t="array" ref="S90">_xlfn.XLOOKUP(Mass_Data[[#This Row],[axle group 1]]&amp;Mass_Data[[#This Row],[Mass Scheme]],Axle_Data[Axle Code]&amp;Axle_Data[Mass Scheme],Axle_Data[MDL Maximum Mass (t)],"",0)</f>
        <v>6.5</v>
      </c>
      <c r="T90" cm="1">
        <f t="array" ref="T90">_xlfn.XLOOKUP(Mass_Data[[#This Row],[axle group 2]]&amp;Mass_Data[[#This Row],[Mass Scheme]],Axle_Data[Axle Code]&amp;Axle_Data[Mass Scheme],Axle_Data[MDL Maximum Mass (t)],"",0)</f>
        <v>17</v>
      </c>
      <c r="U90" cm="1">
        <f t="array" ref="U90">_xlfn.XLOOKUP(Mass_Data[[#This Row],[axle group 3]]&amp;Mass_Data[[#This Row],[Mass Scheme]],Axle_Data[Axle Code]&amp;Axle_Data[Mass Scheme],Axle_Data[MDL Maximum Mass (t)],"",0)</f>
        <v>17</v>
      </c>
      <c r="V90" cm="1">
        <f t="array" ref="V90">_xlfn.XLOOKUP(Mass_Data[[#This Row],[axle group 4]]&amp;Mass_Data[[#This Row],[Mass Scheme]],Axle_Data[Axle Code]&amp;Axle_Data[Mass Scheme],Axle_Data[MDL Maximum Mass (t)],"",0)</f>
        <v>17</v>
      </c>
      <c r="W90" cm="1">
        <f t="array" ref="W90">_xlfn.XLOOKUP(Mass_Data[[#This Row],[axle group 5]]&amp;Mass_Data[[#This Row],[Mass Scheme]],Axle_Data[Axle Code]&amp;Axle_Data[Mass Scheme],Axle_Data[MDL Maximum Mass (t)],"",0)</f>
        <v>17</v>
      </c>
      <c r="X90" t="str" cm="1">
        <f t="array" ref="X90">_xlfn.XLOOKUP(Mass_Data[[#This Row],[axle group 6]]&amp;Mass_Data[[#This Row],[Mass Scheme]],Axle_Data[Axle Code]&amp;Axle_Data[Mass Scheme],Axle_Data[MDL Maximum Mass (t)],"",0)</f>
        <v/>
      </c>
      <c r="Y90" t="str" cm="1">
        <f t="array" ref="Y90">_xlfn.XLOOKUP(Mass_Data[[#This Row],[axle group 7]]&amp;Mass_Data[[#This Row],[Mass Scheme]],Axle_Data[Axle Code]&amp;Axle_Data[Mass Scheme],Axle_Data[MDL Maximum Mass (t)],"",0)</f>
        <v/>
      </c>
      <c r="Z90" s="81">
        <f>SUM(Mass_Data[[#This Row],[MDL axle group 1 mass]:[MDL axle group 7 mass]])</f>
        <v>74.5</v>
      </c>
      <c r="AA90">
        <f>Mass_Data[[#This Row],[Total (1)]]-Mass_Data[[#This Row],[GCM (t)]]</f>
        <v>0</v>
      </c>
      <c r="AB90" t="str">
        <f>IF(Mass_Data[[#This Row],[Difference between MDL and GCM]]=0,"YES","NO")</f>
        <v>YES</v>
      </c>
      <c r="AC90" s="22">
        <f>IFERROR(IF(Mass_Data[[#This Row],[Check (1)]]="YES",Mass_Data[[#This Row],[MDL axle group 1 mass]],Mass_Data[[#This Row],[MDL axle group 1 mass]]-(Mass_Data[[#This Row],[Difference between MDL and GCM]]*(Mass_Data[[#This Row],[MDL axle group 1 mass]]/Mass_Data[[#This Row],[Total (1)]]))),"")</f>
        <v>6.5</v>
      </c>
      <c r="AD90" s="22">
        <f>IFERROR(IF(Mass_Data[[#This Row],[Check (1)]]="YES",Mass_Data[[#This Row],[MDL axle group 2 mass]],Mass_Data[[#This Row],[MDL axle group 2 mass]]-(Mass_Data[[#This Row],[Difference between MDL and GCM]]*(Mass_Data[[#This Row],[MDL axle group 2 mass]]/Mass_Data[[#This Row],[Total (1)]]))),"")</f>
        <v>17</v>
      </c>
      <c r="AE90" s="22">
        <f>IFERROR(IF(Mass_Data[[#This Row],[Check (1)]]="YES",Mass_Data[[#This Row],[MDL axle group 3 mass]],Mass_Data[[#This Row],[MDL axle group 3 mass]]-(Mass_Data[[#This Row],[Difference between MDL and GCM]]*(Mass_Data[[#This Row],[MDL axle group 3 mass]]/Mass_Data[[#This Row],[Total (1)]]))),"")</f>
        <v>17</v>
      </c>
      <c r="AF90" s="22">
        <f>IFERROR(IF(Mass_Data[[#This Row],[Check (1)]]="YES",Mass_Data[[#This Row],[MDL axle group 4 mass]],Mass_Data[[#This Row],[MDL axle group 4 mass]]-(Mass_Data[[#This Row],[Difference between MDL and GCM]]*(Mass_Data[[#This Row],[MDL axle group 4 mass]]/Mass_Data[[#This Row],[Total (1)]]))),"")</f>
        <v>17</v>
      </c>
      <c r="AG90" s="22">
        <f>IFERROR(IF(Mass_Data[[#This Row],[Check (1)]]="YES",Mass_Data[[#This Row],[MDL axle group 5 mass]],Mass_Data[[#This Row],[MDL axle group 5 mass]]-(Mass_Data[[#This Row],[Difference between MDL and GCM]]*(Mass_Data[[#This Row],[MDL axle group 5 mass]]/Mass_Data[[#This Row],[Total (1)]]))),"")</f>
        <v>17</v>
      </c>
      <c r="AH90" s="22" t="str">
        <f>IFERROR(IF(Mass_Data[[#This Row],[Check (1)]]="YES",Mass_Data[[#This Row],[MDL axle group 6 mass]],Mass_Data[[#This Row],[MDL axle group 6 mass]]-(Mass_Data[[#This Row],[Difference between MDL and GCM]]*(Mass_Data[[#This Row],[MDL axle group 6 mass]]/Mass_Data[[#This Row],[Total (1)]]))),"")</f>
        <v/>
      </c>
      <c r="AI90" s="22" t="str">
        <f>IFERROR(IF(Mass_Data[[#This Row],[Check (1)]]="YES",Mass_Data[[#This Row],[MDL axle group 7 mass]],Mass_Data[[#This Row],[MDL axle group 7 mass]]-(Mass_Data[[#This Row],[Difference between MDL and GCM]]*(Mass_Data[[#This Row],[MDL axle group 7 mass]]/Mass_Data[[#This Row],[Total (1)]]))),"")</f>
        <v/>
      </c>
      <c r="AJ90" s="81">
        <f>SUM(Mass_Data[[#This Row],[Corrected axle group 1 mass]:[Corrected axle group 7 mass]])</f>
        <v>74.5</v>
      </c>
      <c r="AK90">
        <f>Mass_Data[[#This Row],[Total (2)]]-Mass_Data[[#This Row],[GCM (t)]]</f>
        <v>0</v>
      </c>
      <c r="AL90" s="22" t="str">
        <f>IF(Mass_Data[[#This Row],[Difference between MDL and corrected axle masses]]=0,"YES","NO")</f>
        <v>YES</v>
      </c>
    </row>
    <row r="91" spans="3:38" x14ac:dyDescent="0.35">
      <c r="C91" s="10" t="str">
        <f t="shared" si="1"/>
        <v>PBS - 3-axle prime mover A-double (3-2-3) (GML): 2</v>
      </c>
      <c r="D91" s="10" t="s">
        <v>177</v>
      </c>
      <c r="E91" s="10" t="s">
        <v>147</v>
      </c>
      <c r="F91" s="10" t="s">
        <v>18</v>
      </c>
      <c r="G91" s="10" t="s">
        <v>4</v>
      </c>
      <c r="H91" t="s">
        <v>67</v>
      </c>
      <c r="I91" s="9">
        <v>79.5</v>
      </c>
      <c r="J91" s="14">
        <v>50.591223584597053</v>
      </c>
      <c r="K91" s="14">
        <f>Mass_Data[[#This Row],[GCM (t)]]-Mass_Data[[#This Row],[Payload (t)]]</f>
        <v>28.908776415402947</v>
      </c>
      <c r="L91" t="s">
        <v>8</v>
      </c>
      <c r="M91" t="s">
        <v>9</v>
      </c>
      <c r="N91" t="s">
        <v>10</v>
      </c>
      <c r="O91" t="s">
        <v>30</v>
      </c>
      <c r="P91" t="s">
        <v>10</v>
      </c>
      <c r="Q91">
        <v>0</v>
      </c>
      <c r="R91">
        <v>0</v>
      </c>
      <c r="S91" cm="1">
        <f t="array" ref="S91">_xlfn.XLOOKUP(Mass_Data[[#This Row],[axle group 1]]&amp;Mass_Data[[#This Row],[Mass Scheme]],Axle_Data[Axle Code]&amp;Axle_Data[Mass Scheme],Axle_Data[MDL Maximum Mass (t)],"",0)</f>
        <v>6.5</v>
      </c>
      <c r="T91" cm="1">
        <f t="array" ref="T91">_xlfn.XLOOKUP(Mass_Data[[#This Row],[axle group 2]]&amp;Mass_Data[[#This Row],[Mass Scheme]],Axle_Data[Axle Code]&amp;Axle_Data[Mass Scheme],Axle_Data[MDL Maximum Mass (t)],"",0)</f>
        <v>16.5</v>
      </c>
      <c r="U91" cm="1">
        <f t="array" ref="U91">_xlfn.XLOOKUP(Mass_Data[[#This Row],[axle group 3]]&amp;Mass_Data[[#This Row],[Mass Scheme]],Axle_Data[Axle Code]&amp;Axle_Data[Mass Scheme],Axle_Data[MDL Maximum Mass (t)],"",0)</f>
        <v>20</v>
      </c>
      <c r="V91" cm="1">
        <f t="array" ref="V91">_xlfn.XLOOKUP(Mass_Data[[#This Row],[axle group 4]]&amp;Mass_Data[[#This Row],[Mass Scheme]],Axle_Data[Axle Code]&amp;Axle_Data[Mass Scheme],Axle_Data[MDL Maximum Mass (t)],"",0)</f>
        <v>16.5</v>
      </c>
      <c r="W91" cm="1">
        <f t="array" ref="W91">_xlfn.XLOOKUP(Mass_Data[[#This Row],[axle group 5]]&amp;Mass_Data[[#This Row],[Mass Scheme]],Axle_Data[Axle Code]&amp;Axle_Data[Mass Scheme],Axle_Data[MDL Maximum Mass (t)],"",0)</f>
        <v>20</v>
      </c>
      <c r="X91" t="str" cm="1">
        <f t="array" ref="X91">_xlfn.XLOOKUP(Mass_Data[[#This Row],[axle group 6]]&amp;Mass_Data[[#This Row],[Mass Scheme]],Axle_Data[Axle Code]&amp;Axle_Data[Mass Scheme],Axle_Data[MDL Maximum Mass (t)],"",0)</f>
        <v/>
      </c>
      <c r="Y91" t="str" cm="1">
        <f t="array" ref="Y91">_xlfn.XLOOKUP(Mass_Data[[#This Row],[axle group 7]]&amp;Mass_Data[[#This Row],[Mass Scheme]],Axle_Data[Axle Code]&amp;Axle_Data[Mass Scheme],Axle_Data[MDL Maximum Mass (t)],"",0)</f>
        <v/>
      </c>
      <c r="Z91" s="81">
        <f>SUM(Mass_Data[[#This Row],[MDL axle group 1 mass]:[MDL axle group 7 mass]])</f>
        <v>79.5</v>
      </c>
      <c r="AA91">
        <f>Mass_Data[[#This Row],[Total (1)]]-Mass_Data[[#This Row],[GCM (t)]]</f>
        <v>0</v>
      </c>
      <c r="AB91" t="str">
        <f>IF(Mass_Data[[#This Row],[Difference between MDL and GCM]]=0,"YES","NO")</f>
        <v>YES</v>
      </c>
      <c r="AC91" s="22">
        <f>IFERROR(IF(Mass_Data[[#This Row],[Check (1)]]="YES",Mass_Data[[#This Row],[MDL axle group 1 mass]],Mass_Data[[#This Row],[MDL axle group 1 mass]]-(Mass_Data[[#This Row],[Difference between MDL and GCM]]*(Mass_Data[[#This Row],[MDL axle group 1 mass]]/Mass_Data[[#This Row],[Total (1)]]))),"")</f>
        <v>6.5</v>
      </c>
      <c r="AD91" s="22">
        <f>IFERROR(IF(Mass_Data[[#This Row],[Check (1)]]="YES",Mass_Data[[#This Row],[MDL axle group 2 mass]],Mass_Data[[#This Row],[MDL axle group 2 mass]]-(Mass_Data[[#This Row],[Difference between MDL and GCM]]*(Mass_Data[[#This Row],[MDL axle group 2 mass]]/Mass_Data[[#This Row],[Total (1)]]))),"")</f>
        <v>16.5</v>
      </c>
      <c r="AE91" s="22">
        <f>IFERROR(IF(Mass_Data[[#This Row],[Check (1)]]="YES",Mass_Data[[#This Row],[MDL axle group 3 mass]],Mass_Data[[#This Row],[MDL axle group 3 mass]]-(Mass_Data[[#This Row],[Difference between MDL and GCM]]*(Mass_Data[[#This Row],[MDL axle group 3 mass]]/Mass_Data[[#This Row],[Total (1)]]))),"")</f>
        <v>20</v>
      </c>
      <c r="AF91" s="22">
        <f>IFERROR(IF(Mass_Data[[#This Row],[Check (1)]]="YES",Mass_Data[[#This Row],[MDL axle group 4 mass]],Mass_Data[[#This Row],[MDL axle group 4 mass]]-(Mass_Data[[#This Row],[Difference between MDL and GCM]]*(Mass_Data[[#This Row],[MDL axle group 4 mass]]/Mass_Data[[#This Row],[Total (1)]]))),"")</f>
        <v>16.5</v>
      </c>
      <c r="AG91" s="22">
        <f>IFERROR(IF(Mass_Data[[#This Row],[Check (1)]]="YES",Mass_Data[[#This Row],[MDL axle group 5 mass]],Mass_Data[[#This Row],[MDL axle group 5 mass]]-(Mass_Data[[#This Row],[Difference between MDL and GCM]]*(Mass_Data[[#This Row],[MDL axle group 5 mass]]/Mass_Data[[#This Row],[Total (1)]]))),"")</f>
        <v>20</v>
      </c>
      <c r="AH91" s="22" t="str">
        <f>IFERROR(IF(Mass_Data[[#This Row],[Check (1)]]="YES",Mass_Data[[#This Row],[MDL axle group 6 mass]],Mass_Data[[#This Row],[MDL axle group 6 mass]]-(Mass_Data[[#This Row],[Difference between MDL and GCM]]*(Mass_Data[[#This Row],[MDL axle group 6 mass]]/Mass_Data[[#This Row],[Total (1)]]))),"")</f>
        <v/>
      </c>
      <c r="AI91" s="22" t="str">
        <f>IFERROR(IF(Mass_Data[[#This Row],[Check (1)]]="YES",Mass_Data[[#This Row],[MDL axle group 7 mass]],Mass_Data[[#This Row],[MDL axle group 7 mass]]-(Mass_Data[[#This Row],[Difference between MDL and GCM]]*(Mass_Data[[#This Row],[MDL axle group 7 mass]]/Mass_Data[[#This Row],[Total (1)]]))),"")</f>
        <v/>
      </c>
      <c r="AJ91" s="81">
        <f>SUM(Mass_Data[[#This Row],[Corrected axle group 1 mass]:[Corrected axle group 7 mass]])</f>
        <v>79.5</v>
      </c>
      <c r="AK91">
        <f>Mass_Data[[#This Row],[Total (2)]]-Mass_Data[[#This Row],[GCM (t)]]</f>
        <v>0</v>
      </c>
      <c r="AL91" s="22" t="str">
        <f>IF(Mass_Data[[#This Row],[Difference between MDL and corrected axle masses]]=0,"YES","NO")</f>
        <v>YES</v>
      </c>
    </row>
    <row r="92" spans="3:38" x14ac:dyDescent="0.35">
      <c r="C92" s="10" t="str">
        <f t="shared" si="1"/>
        <v>PBS - 3-axle prime mover A-double (3-2-3) (CML): 2</v>
      </c>
      <c r="D92" s="10" t="s">
        <v>177</v>
      </c>
      <c r="E92" s="10" t="s">
        <v>147</v>
      </c>
      <c r="F92" s="10" t="s">
        <v>20</v>
      </c>
      <c r="G92" s="10" t="s">
        <v>4</v>
      </c>
      <c r="H92" t="s">
        <v>67</v>
      </c>
      <c r="I92" s="9">
        <v>81.5</v>
      </c>
      <c r="J92" s="14">
        <v>52.591223584597053</v>
      </c>
      <c r="K92" s="14">
        <f>Mass_Data[[#This Row],[GCM (t)]]-Mass_Data[[#This Row],[Payload (t)]]</f>
        <v>28.908776415402947</v>
      </c>
      <c r="L92" t="s">
        <v>8</v>
      </c>
      <c r="M92" t="s">
        <v>9</v>
      </c>
      <c r="N92" t="s">
        <v>10</v>
      </c>
      <c r="O92" t="s">
        <v>30</v>
      </c>
      <c r="P92" t="s">
        <v>10</v>
      </c>
      <c r="Q92">
        <v>0</v>
      </c>
      <c r="R92">
        <v>0</v>
      </c>
      <c r="S92" cm="1">
        <f t="array" ref="S92">_xlfn.XLOOKUP(Mass_Data[[#This Row],[axle group 1]]&amp;Mass_Data[[#This Row],[Mass Scheme]],Axle_Data[Axle Code]&amp;Axle_Data[Mass Scheme],Axle_Data[MDL Maximum Mass (t)],"",0)</f>
        <v>6.5</v>
      </c>
      <c r="T92" cm="1">
        <f t="array" ref="T92">_xlfn.XLOOKUP(Mass_Data[[#This Row],[axle group 2]]&amp;Mass_Data[[#This Row],[Mass Scheme]],Axle_Data[Axle Code]&amp;Axle_Data[Mass Scheme],Axle_Data[MDL Maximum Mass (t)],"",0)</f>
        <v>17</v>
      </c>
      <c r="U92" cm="1">
        <f t="array" ref="U92">_xlfn.XLOOKUP(Mass_Data[[#This Row],[axle group 3]]&amp;Mass_Data[[#This Row],[Mass Scheme]],Axle_Data[Axle Code]&amp;Axle_Data[Mass Scheme],Axle_Data[MDL Maximum Mass (t)],"",0)</f>
        <v>21</v>
      </c>
      <c r="V92" cm="1">
        <f t="array" ref="V92">_xlfn.XLOOKUP(Mass_Data[[#This Row],[axle group 4]]&amp;Mass_Data[[#This Row],[Mass Scheme]],Axle_Data[Axle Code]&amp;Axle_Data[Mass Scheme],Axle_Data[MDL Maximum Mass (t)],"",0)</f>
        <v>17</v>
      </c>
      <c r="W92" cm="1">
        <f t="array" ref="W92">_xlfn.XLOOKUP(Mass_Data[[#This Row],[axle group 5]]&amp;Mass_Data[[#This Row],[Mass Scheme]],Axle_Data[Axle Code]&amp;Axle_Data[Mass Scheme],Axle_Data[MDL Maximum Mass (t)],"",0)</f>
        <v>21</v>
      </c>
      <c r="X92" t="str" cm="1">
        <f t="array" ref="X92">_xlfn.XLOOKUP(Mass_Data[[#This Row],[axle group 6]]&amp;Mass_Data[[#This Row],[Mass Scheme]],Axle_Data[Axle Code]&amp;Axle_Data[Mass Scheme],Axle_Data[MDL Maximum Mass (t)],"",0)</f>
        <v/>
      </c>
      <c r="Y92" t="str" cm="1">
        <f t="array" ref="Y92">_xlfn.XLOOKUP(Mass_Data[[#This Row],[axle group 7]]&amp;Mass_Data[[#This Row],[Mass Scheme]],Axle_Data[Axle Code]&amp;Axle_Data[Mass Scheme],Axle_Data[MDL Maximum Mass (t)],"",0)</f>
        <v/>
      </c>
      <c r="Z92" s="81">
        <f>SUM(Mass_Data[[#This Row],[MDL axle group 1 mass]:[MDL axle group 7 mass]])</f>
        <v>82.5</v>
      </c>
      <c r="AA92">
        <f>Mass_Data[[#This Row],[Total (1)]]-Mass_Data[[#This Row],[GCM (t)]]</f>
        <v>1</v>
      </c>
      <c r="AB92" t="str">
        <f>IF(Mass_Data[[#This Row],[Difference between MDL and GCM]]=0,"YES","NO")</f>
        <v>NO</v>
      </c>
      <c r="AC92" s="22">
        <f>IFERROR(IF(Mass_Data[[#This Row],[Check (1)]]="YES",Mass_Data[[#This Row],[MDL axle group 1 mass]],Mass_Data[[#This Row],[MDL axle group 1 mass]]-(Mass_Data[[#This Row],[Difference between MDL and GCM]]*(Mass_Data[[#This Row],[MDL axle group 1 mass]]/Mass_Data[[#This Row],[Total (1)]]))),"")</f>
        <v>6.4212121212121209</v>
      </c>
      <c r="AD92" s="22">
        <f>IFERROR(IF(Mass_Data[[#This Row],[Check (1)]]="YES",Mass_Data[[#This Row],[MDL axle group 2 mass]],Mass_Data[[#This Row],[MDL axle group 2 mass]]-(Mass_Data[[#This Row],[Difference between MDL and GCM]]*(Mass_Data[[#This Row],[MDL axle group 2 mass]]/Mass_Data[[#This Row],[Total (1)]]))),"")</f>
        <v>16.793939393939393</v>
      </c>
      <c r="AE92" s="22">
        <f>IFERROR(IF(Mass_Data[[#This Row],[Check (1)]]="YES",Mass_Data[[#This Row],[MDL axle group 3 mass]],Mass_Data[[#This Row],[MDL axle group 3 mass]]-(Mass_Data[[#This Row],[Difference between MDL and GCM]]*(Mass_Data[[#This Row],[MDL axle group 3 mass]]/Mass_Data[[#This Row],[Total (1)]]))),"")</f>
        <v>20.745454545454546</v>
      </c>
      <c r="AF92" s="22">
        <f>IFERROR(IF(Mass_Data[[#This Row],[Check (1)]]="YES",Mass_Data[[#This Row],[MDL axle group 4 mass]],Mass_Data[[#This Row],[MDL axle group 4 mass]]-(Mass_Data[[#This Row],[Difference between MDL and GCM]]*(Mass_Data[[#This Row],[MDL axle group 4 mass]]/Mass_Data[[#This Row],[Total (1)]]))),"")</f>
        <v>16.793939393939393</v>
      </c>
      <c r="AG92" s="22">
        <f>IFERROR(IF(Mass_Data[[#This Row],[Check (1)]]="YES",Mass_Data[[#This Row],[MDL axle group 5 mass]],Mass_Data[[#This Row],[MDL axle group 5 mass]]-(Mass_Data[[#This Row],[Difference between MDL and GCM]]*(Mass_Data[[#This Row],[MDL axle group 5 mass]]/Mass_Data[[#This Row],[Total (1)]]))),"")</f>
        <v>20.745454545454546</v>
      </c>
      <c r="AH92" s="22" t="str">
        <f>IFERROR(IF(Mass_Data[[#This Row],[Check (1)]]="YES",Mass_Data[[#This Row],[MDL axle group 6 mass]],Mass_Data[[#This Row],[MDL axle group 6 mass]]-(Mass_Data[[#This Row],[Difference between MDL and GCM]]*(Mass_Data[[#This Row],[MDL axle group 6 mass]]/Mass_Data[[#This Row],[Total (1)]]))),"")</f>
        <v/>
      </c>
      <c r="AI92" s="22" t="str">
        <f>IFERROR(IF(Mass_Data[[#This Row],[Check (1)]]="YES",Mass_Data[[#This Row],[MDL axle group 7 mass]],Mass_Data[[#This Row],[MDL axle group 7 mass]]-(Mass_Data[[#This Row],[Difference between MDL and GCM]]*(Mass_Data[[#This Row],[MDL axle group 7 mass]]/Mass_Data[[#This Row],[Total (1)]]))),"")</f>
        <v/>
      </c>
      <c r="AJ92" s="81">
        <f>SUM(Mass_Data[[#This Row],[Corrected axle group 1 mass]:[Corrected axle group 7 mass]])</f>
        <v>81.5</v>
      </c>
      <c r="AK92">
        <f>Mass_Data[[#This Row],[Total (2)]]-Mass_Data[[#This Row],[GCM (t)]]</f>
        <v>0</v>
      </c>
      <c r="AL92" s="22" t="str">
        <f>IF(Mass_Data[[#This Row],[Difference between MDL and corrected axle masses]]=0,"YES","NO")</f>
        <v>YES</v>
      </c>
    </row>
    <row r="93" spans="3:38" x14ac:dyDescent="0.35">
      <c r="C93" s="10" t="str">
        <f t="shared" si="1"/>
        <v>PBS - 3-axle prime mover A-double (3-2-3) (HML): 2</v>
      </c>
      <c r="D93" s="10" t="s">
        <v>177</v>
      </c>
      <c r="E93" s="10" t="s">
        <v>147</v>
      </c>
      <c r="F93" s="10" t="s">
        <v>7</v>
      </c>
      <c r="G93" s="10" t="s">
        <v>4</v>
      </c>
      <c r="H93" t="s">
        <v>67</v>
      </c>
      <c r="I93" s="9">
        <v>85</v>
      </c>
      <c r="J93" s="14">
        <v>56.091223584597053</v>
      </c>
      <c r="K93" s="14">
        <f>Mass_Data[[#This Row],[GCM (t)]]-Mass_Data[[#This Row],[Payload (t)]]</f>
        <v>28.908776415402947</v>
      </c>
      <c r="L93" t="s">
        <v>8</v>
      </c>
      <c r="M93" t="s">
        <v>9</v>
      </c>
      <c r="N93" t="s">
        <v>10</v>
      </c>
      <c r="O93" t="s">
        <v>30</v>
      </c>
      <c r="P93" t="s">
        <v>10</v>
      </c>
      <c r="Q93">
        <v>0</v>
      </c>
      <c r="R93">
        <v>0</v>
      </c>
      <c r="S93" cm="1">
        <f t="array" ref="S93">_xlfn.XLOOKUP(Mass_Data[[#This Row],[axle group 1]]&amp;Mass_Data[[#This Row],[Mass Scheme]],Axle_Data[Axle Code]&amp;Axle_Data[Mass Scheme],Axle_Data[MDL Maximum Mass (t)],"",0)</f>
        <v>6.5</v>
      </c>
      <c r="T93" cm="1">
        <f t="array" ref="T93">_xlfn.XLOOKUP(Mass_Data[[#This Row],[axle group 2]]&amp;Mass_Data[[#This Row],[Mass Scheme]],Axle_Data[Axle Code]&amp;Axle_Data[Mass Scheme],Axle_Data[MDL Maximum Mass (t)],"",0)</f>
        <v>17</v>
      </c>
      <c r="U93" cm="1">
        <f t="array" ref="U93">_xlfn.XLOOKUP(Mass_Data[[#This Row],[axle group 3]]&amp;Mass_Data[[#This Row],[Mass Scheme]],Axle_Data[Axle Code]&amp;Axle_Data[Mass Scheme],Axle_Data[MDL Maximum Mass (t)],"",0)</f>
        <v>22.5</v>
      </c>
      <c r="V93" cm="1">
        <f t="array" ref="V93">_xlfn.XLOOKUP(Mass_Data[[#This Row],[axle group 4]]&amp;Mass_Data[[#This Row],[Mass Scheme]],Axle_Data[Axle Code]&amp;Axle_Data[Mass Scheme],Axle_Data[MDL Maximum Mass (t)],"",0)</f>
        <v>17</v>
      </c>
      <c r="W93" cm="1">
        <f t="array" ref="W93">_xlfn.XLOOKUP(Mass_Data[[#This Row],[axle group 5]]&amp;Mass_Data[[#This Row],[Mass Scheme]],Axle_Data[Axle Code]&amp;Axle_Data[Mass Scheme],Axle_Data[MDL Maximum Mass (t)],"",0)</f>
        <v>22.5</v>
      </c>
      <c r="X93" t="str" cm="1">
        <f t="array" ref="X93">_xlfn.XLOOKUP(Mass_Data[[#This Row],[axle group 6]]&amp;Mass_Data[[#This Row],[Mass Scheme]],Axle_Data[Axle Code]&amp;Axle_Data[Mass Scheme],Axle_Data[MDL Maximum Mass (t)],"",0)</f>
        <v/>
      </c>
      <c r="Y93" t="str" cm="1">
        <f t="array" ref="Y93">_xlfn.XLOOKUP(Mass_Data[[#This Row],[axle group 7]]&amp;Mass_Data[[#This Row],[Mass Scheme]],Axle_Data[Axle Code]&amp;Axle_Data[Mass Scheme],Axle_Data[MDL Maximum Mass (t)],"",0)</f>
        <v/>
      </c>
      <c r="Z93" s="81">
        <f>SUM(Mass_Data[[#This Row],[MDL axle group 1 mass]:[MDL axle group 7 mass]])</f>
        <v>85.5</v>
      </c>
      <c r="AA93">
        <f>Mass_Data[[#This Row],[Total (1)]]-Mass_Data[[#This Row],[GCM (t)]]</f>
        <v>0.5</v>
      </c>
      <c r="AB93" t="str">
        <f>IF(Mass_Data[[#This Row],[Difference between MDL and GCM]]=0,"YES","NO")</f>
        <v>NO</v>
      </c>
      <c r="AC93" s="22">
        <f>IFERROR(IF(Mass_Data[[#This Row],[Check (1)]]="YES",Mass_Data[[#This Row],[MDL axle group 1 mass]],Mass_Data[[#This Row],[MDL axle group 1 mass]]-(Mass_Data[[#This Row],[Difference between MDL and GCM]]*(Mass_Data[[#This Row],[MDL axle group 1 mass]]/Mass_Data[[#This Row],[Total (1)]]))),"")</f>
        <v>6.4619883040935671</v>
      </c>
      <c r="AD93" s="22">
        <f>IFERROR(IF(Mass_Data[[#This Row],[Check (1)]]="YES",Mass_Data[[#This Row],[MDL axle group 2 mass]],Mass_Data[[#This Row],[MDL axle group 2 mass]]-(Mass_Data[[#This Row],[Difference between MDL and GCM]]*(Mass_Data[[#This Row],[MDL axle group 2 mass]]/Mass_Data[[#This Row],[Total (1)]]))),"")</f>
        <v>16.900584795321638</v>
      </c>
      <c r="AE93" s="22">
        <f>IFERROR(IF(Mass_Data[[#This Row],[Check (1)]]="YES",Mass_Data[[#This Row],[MDL axle group 3 mass]],Mass_Data[[#This Row],[MDL axle group 3 mass]]-(Mass_Data[[#This Row],[Difference between MDL and GCM]]*(Mass_Data[[#This Row],[MDL axle group 3 mass]]/Mass_Data[[#This Row],[Total (1)]]))),"")</f>
        <v>22.368421052631579</v>
      </c>
      <c r="AF93" s="22">
        <f>IFERROR(IF(Mass_Data[[#This Row],[Check (1)]]="YES",Mass_Data[[#This Row],[MDL axle group 4 mass]],Mass_Data[[#This Row],[MDL axle group 4 mass]]-(Mass_Data[[#This Row],[Difference between MDL and GCM]]*(Mass_Data[[#This Row],[MDL axle group 4 mass]]/Mass_Data[[#This Row],[Total (1)]]))),"")</f>
        <v>16.900584795321638</v>
      </c>
      <c r="AG93" s="22">
        <f>IFERROR(IF(Mass_Data[[#This Row],[Check (1)]]="YES",Mass_Data[[#This Row],[MDL axle group 5 mass]],Mass_Data[[#This Row],[MDL axle group 5 mass]]-(Mass_Data[[#This Row],[Difference between MDL and GCM]]*(Mass_Data[[#This Row],[MDL axle group 5 mass]]/Mass_Data[[#This Row],[Total (1)]]))),"")</f>
        <v>22.368421052631579</v>
      </c>
      <c r="AH93" s="22" t="str">
        <f>IFERROR(IF(Mass_Data[[#This Row],[Check (1)]]="YES",Mass_Data[[#This Row],[MDL axle group 6 mass]],Mass_Data[[#This Row],[MDL axle group 6 mass]]-(Mass_Data[[#This Row],[Difference between MDL and GCM]]*(Mass_Data[[#This Row],[MDL axle group 6 mass]]/Mass_Data[[#This Row],[Total (1)]]))),"")</f>
        <v/>
      </c>
      <c r="AI93" s="22" t="str">
        <f>IFERROR(IF(Mass_Data[[#This Row],[Check (1)]]="YES",Mass_Data[[#This Row],[MDL axle group 7 mass]],Mass_Data[[#This Row],[MDL axle group 7 mass]]-(Mass_Data[[#This Row],[Difference between MDL and GCM]]*(Mass_Data[[#This Row],[MDL axle group 7 mass]]/Mass_Data[[#This Row],[Total (1)]]))),"")</f>
        <v/>
      </c>
      <c r="AJ93" s="81">
        <f>SUM(Mass_Data[[#This Row],[Corrected axle group 1 mass]:[Corrected axle group 7 mass]])</f>
        <v>85</v>
      </c>
      <c r="AK93">
        <f>Mass_Data[[#This Row],[Total (2)]]-Mass_Data[[#This Row],[GCM (t)]]</f>
        <v>0</v>
      </c>
      <c r="AL93" s="22" t="str">
        <f>IF(Mass_Data[[#This Row],[Difference between MDL and corrected axle masses]]=0,"YES","NO")</f>
        <v>YES</v>
      </c>
    </row>
    <row r="94" spans="3:38" x14ac:dyDescent="0.35">
      <c r="C94" s="10" t="str">
        <f t="shared" si="1"/>
        <v>PBS - 3-axle prime mover A-double (3-2-3) (GML): 3</v>
      </c>
      <c r="D94" s="10" t="s">
        <v>177</v>
      </c>
      <c r="E94" s="10" t="s">
        <v>147</v>
      </c>
      <c r="F94" s="10" t="s">
        <v>18</v>
      </c>
      <c r="G94" s="10" t="s">
        <v>5</v>
      </c>
      <c r="H94" t="s">
        <v>67</v>
      </c>
      <c r="I94" s="9">
        <v>79.5</v>
      </c>
      <c r="J94" s="14">
        <v>50.591223584597053</v>
      </c>
      <c r="K94" s="14">
        <f>Mass_Data[[#This Row],[GCM (t)]]-Mass_Data[[#This Row],[Payload (t)]]</f>
        <v>28.908776415402947</v>
      </c>
      <c r="L94" t="s">
        <v>8</v>
      </c>
      <c r="M94" t="s">
        <v>9</v>
      </c>
      <c r="N94" t="s">
        <v>10</v>
      </c>
      <c r="O94" t="s">
        <v>30</v>
      </c>
      <c r="P94" t="s">
        <v>10</v>
      </c>
      <c r="Q94">
        <v>0</v>
      </c>
      <c r="R94">
        <v>0</v>
      </c>
      <c r="S94" cm="1">
        <f t="array" ref="S94">_xlfn.XLOOKUP(Mass_Data[[#This Row],[axle group 1]]&amp;Mass_Data[[#This Row],[Mass Scheme]],Axle_Data[Axle Code]&amp;Axle_Data[Mass Scheme],Axle_Data[MDL Maximum Mass (t)],"",0)</f>
        <v>6.5</v>
      </c>
      <c r="T94" cm="1">
        <f t="array" ref="T94">_xlfn.XLOOKUP(Mass_Data[[#This Row],[axle group 2]]&amp;Mass_Data[[#This Row],[Mass Scheme]],Axle_Data[Axle Code]&amp;Axle_Data[Mass Scheme],Axle_Data[MDL Maximum Mass (t)],"",0)</f>
        <v>16.5</v>
      </c>
      <c r="U94" cm="1">
        <f t="array" ref="U94">_xlfn.XLOOKUP(Mass_Data[[#This Row],[axle group 3]]&amp;Mass_Data[[#This Row],[Mass Scheme]],Axle_Data[Axle Code]&amp;Axle_Data[Mass Scheme],Axle_Data[MDL Maximum Mass (t)],"",0)</f>
        <v>20</v>
      </c>
      <c r="V94" cm="1">
        <f t="array" ref="V94">_xlfn.XLOOKUP(Mass_Data[[#This Row],[axle group 4]]&amp;Mass_Data[[#This Row],[Mass Scheme]],Axle_Data[Axle Code]&amp;Axle_Data[Mass Scheme],Axle_Data[MDL Maximum Mass (t)],"",0)</f>
        <v>16.5</v>
      </c>
      <c r="W94" cm="1">
        <f t="array" ref="W94">_xlfn.XLOOKUP(Mass_Data[[#This Row],[axle group 5]]&amp;Mass_Data[[#This Row],[Mass Scheme]],Axle_Data[Axle Code]&amp;Axle_Data[Mass Scheme],Axle_Data[MDL Maximum Mass (t)],"",0)</f>
        <v>20</v>
      </c>
      <c r="X94" t="str" cm="1">
        <f t="array" ref="X94">_xlfn.XLOOKUP(Mass_Data[[#This Row],[axle group 6]]&amp;Mass_Data[[#This Row],[Mass Scheme]],Axle_Data[Axle Code]&amp;Axle_Data[Mass Scheme],Axle_Data[MDL Maximum Mass (t)],"",0)</f>
        <v/>
      </c>
      <c r="Y94" t="str" cm="1">
        <f t="array" ref="Y94">_xlfn.XLOOKUP(Mass_Data[[#This Row],[axle group 7]]&amp;Mass_Data[[#This Row],[Mass Scheme]],Axle_Data[Axle Code]&amp;Axle_Data[Mass Scheme],Axle_Data[MDL Maximum Mass (t)],"",0)</f>
        <v/>
      </c>
      <c r="Z94" s="81">
        <f>SUM(Mass_Data[[#This Row],[MDL axle group 1 mass]:[MDL axle group 7 mass]])</f>
        <v>79.5</v>
      </c>
      <c r="AA94">
        <f>Mass_Data[[#This Row],[Total (1)]]-Mass_Data[[#This Row],[GCM (t)]]</f>
        <v>0</v>
      </c>
      <c r="AB94" t="str">
        <f>IF(Mass_Data[[#This Row],[Difference between MDL and GCM]]=0,"YES","NO")</f>
        <v>YES</v>
      </c>
      <c r="AC94" s="22">
        <f>IFERROR(IF(Mass_Data[[#This Row],[Check (1)]]="YES",Mass_Data[[#This Row],[MDL axle group 1 mass]],Mass_Data[[#This Row],[MDL axle group 1 mass]]-(Mass_Data[[#This Row],[Difference between MDL and GCM]]*(Mass_Data[[#This Row],[MDL axle group 1 mass]]/Mass_Data[[#This Row],[Total (1)]]))),"")</f>
        <v>6.5</v>
      </c>
      <c r="AD94" s="22">
        <f>IFERROR(IF(Mass_Data[[#This Row],[Check (1)]]="YES",Mass_Data[[#This Row],[MDL axle group 2 mass]],Mass_Data[[#This Row],[MDL axle group 2 mass]]-(Mass_Data[[#This Row],[Difference between MDL and GCM]]*(Mass_Data[[#This Row],[MDL axle group 2 mass]]/Mass_Data[[#This Row],[Total (1)]]))),"")</f>
        <v>16.5</v>
      </c>
      <c r="AE94" s="22">
        <f>IFERROR(IF(Mass_Data[[#This Row],[Check (1)]]="YES",Mass_Data[[#This Row],[MDL axle group 3 mass]],Mass_Data[[#This Row],[MDL axle group 3 mass]]-(Mass_Data[[#This Row],[Difference between MDL and GCM]]*(Mass_Data[[#This Row],[MDL axle group 3 mass]]/Mass_Data[[#This Row],[Total (1)]]))),"")</f>
        <v>20</v>
      </c>
      <c r="AF94" s="22">
        <f>IFERROR(IF(Mass_Data[[#This Row],[Check (1)]]="YES",Mass_Data[[#This Row],[MDL axle group 4 mass]],Mass_Data[[#This Row],[MDL axle group 4 mass]]-(Mass_Data[[#This Row],[Difference between MDL and GCM]]*(Mass_Data[[#This Row],[MDL axle group 4 mass]]/Mass_Data[[#This Row],[Total (1)]]))),"")</f>
        <v>16.5</v>
      </c>
      <c r="AG94" s="22">
        <f>IFERROR(IF(Mass_Data[[#This Row],[Check (1)]]="YES",Mass_Data[[#This Row],[MDL axle group 5 mass]],Mass_Data[[#This Row],[MDL axle group 5 mass]]-(Mass_Data[[#This Row],[Difference between MDL and GCM]]*(Mass_Data[[#This Row],[MDL axle group 5 mass]]/Mass_Data[[#This Row],[Total (1)]]))),"")</f>
        <v>20</v>
      </c>
      <c r="AH94" s="22" t="str">
        <f>IFERROR(IF(Mass_Data[[#This Row],[Check (1)]]="YES",Mass_Data[[#This Row],[MDL axle group 6 mass]],Mass_Data[[#This Row],[MDL axle group 6 mass]]-(Mass_Data[[#This Row],[Difference between MDL and GCM]]*(Mass_Data[[#This Row],[MDL axle group 6 mass]]/Mass_Data[[#This Row],[Total (1)]]))),"")</f>
        <v/>
      </c>
      <c r="AI94" s="22" t="str">
        <f>IFERROR(IF(Mass_Data[[#This Row],[Check (1)]]="YES",Mass_Data[[#This Row],[MDL axle group 7 mass]],Mass_Data[[#This Row],[MDL axle group 7 mass]]-(Mass_Data[[#This Row],[Difference between MDL and GCM]]*(Mass_Data[[#This Row],[MDL axle group 7 mass]]/Mass_Data[[#This Row],[Total (1)]]))),"")</f>
        <v/>
      </c>
      <c r="AJ94" s="81">
        <f>SUM(Mass_Data[[#This Row],[Corrected axle group 1 mass]:[Corrected axle group 7 mass]])</f>
        <v>79.5</v>
      </c>
      <c r="AK94">
        <f>Mass_Data[[#This Row],[Total (2)]]-Mass_Data[[#This Row],[GCM (t)]]</f>
        <v>0</v>
      </c>
      <c r="AL94" s="22" t="str">
        <f>IF(Mass_Data[[#This Row],[Difference between MDL and corrected axle masses]]=0,"YES","NO")</f>
        <v>YES</v>
      </c>
    </row>
    <row r="95" spans="3:38" x14ac:dyDescent="0.35">
      <c r="C95" s="10" t="str">
        <f t="shared" si="1"/>
        <v>PBS - 3-axle prime mover A-double (3-2-3) (CML): 3</v>
      </c>
      <c r="D95" s="10" t="s">
        <v>177</v>
      </c>
      <c r="E95" s="10" t="s">
        <v>147</v>
      </c>
      <c r="F95" s="10" t="s">
        <v>20</v>
      </c>
      <c r="G95" s="10" t="s">
        <v>5</v>
      </c>
      <c r="H95" t="s">
        <v>67</v>
      </c>
      <c r="I95" s="9">
        <v>81.5</v>
      </c>
      <c r="J95" s="14">
        <v>52.591223584597053</v>
      </c>
      <c r="K95" s="14">
        <f>Mass_Data[[#This Row],[GCM (t)]]-Mass_Data[[#This Row],[Payload (t)]]</f>
        <v>28.908776415402947</v>
      </c>
      <c r="L95" t="s">
        <v>8</v>
      </c>
      <c r="M95" t="s">
        <v>9</v>
      </c>
      <c r="N95" t="s">
        <v>10</v>
      </c>
      <c r="O95" t="s">
        <v>30</v>
      </c>
      <c r="P95" t="s">
        <v>10</v>
      </c>
      <c r="Q95">
        <v>0</v>
      </c>
      <c r="R95">
        <v>0</v>
      </c>
      <c r="S95" cm="1">
        <f t="array" ref="S95">_xlfn.XLOOKUP(Mass_Data[[#This Row],[axle group 1]]&amp;Mass_Data[[#This Row],[Mass Scheme]],Axle_Data[Axle Code]&amp;Axle_Data[Mass Scheme],Axle_Data[MDL Maximum Mass (t)],"",0)</f>
        <v>6.5</v>
      </c>
      <c r="T95" cm="1">
        <f t="array" ref="T95">_xlfn.XLOOKUP(Mass_Data[[#This Row],[axle group 2]]&amp;Mass_Data[[#This Row],[Mass Scheme]],Axle_Data[Axle Code]&amp;Axle_Data[Mass Scheme],Axle_Data[MDL Maximum Mass (t)],"",0)</f>
        <v>17</v>
      </c>
      <c r="U95" cm="1">
        <f t="array" ref="U95">_xlfn.XLOOKUP(Mass_Data[[#This Row],[axle group 3]]&amp;Mass_Data[[#This Row],[Mass Scheme]],Axle_Data[Axle Code]&amp;Axle_Data[Mass Scheme],Axle_Data[MDL Maximum Mass (t)],"",0)</f>
        <v>21</v>
      </c>
      <c r="V95" cm="1">
        <f t="array" ref="V95">_xlfn.XLOOKUP(Mass_Data[[#This Row],[axle group 4]]&amp;Mass_Data[[#This Row],[Mass Scheme]],Axle_Data[Axle Code]&amp;Axle_Data[Mass Scheme],Axle_Data[MDL Maximum Mass (t)],"",0)</f>
        <v>17</v>
      </c>
      <c r="W95" cm="1">
        <f t="array" ref="W95">_xlfn.XLOOKUP(Mass_Data[[#This Row],[axle group 5]]&amp;Mass_Data[[#This Row],[Mass Scheme]],Axle_Data[Axle Code]&amp;Axle_Data[Mass Scheme],Axle_Data[MDL Maximum Mass (t)],"",0)</f>
        <v>21</v>
      </c>
      <c r="X95" t="str" cm="1">
        <f t="array" ref="X95">_xlfn.XLOOKUP(Mass_Data[[#This Row],[axle group 6]]&amp;Mass_Data[[#This Row],[Mass Scheme]],Axle_Data[Axle Code]&amp;Axle_Data[Mass Scheme],Axle_Data[MDL Maximum Mass (t)],"",0)</f>
        <v/>
      </c>
      <c r="Y95" t="str" cm="1">
        <f t="array" ref="Y95">_xlfn.XLOOKUP(Mass_Data[[#This Row],[axle group 7]]&amp;Mass_Data[[#This Row],[Mass Scheme]],Axle_Data[Axle Code]&amp;Axle_Data[Mass Scheme],Axle_Data[MDL Maximum Mass (t)],"",0)</f>
        <v/>
      </c>
      <c r="Z95" s="81">
        <f>SUM(Mass_Data[[#This Row],[MDL axle group 1 mass]:[MDL axle group 7 mass]])</f>
        <v>82.5</v>
      </c>
      <c r="AA95">
        <f>Mass_Data[[#This Row],[Total (1)]]-Mass_Data[[#This Row],[GCM (t)]]</f>
        <v>1</v>
      </c>
      <c r="AB95" t="str">
        <f>IF(Mass_Data[[#This Row],[Difference between MDL and GCM]]=0,"YES","NO")</f>
        <v>NO</v>
      </c>
      <c r="AC95" s="22">
        <f>IFERROR(IF(Mass_Data[[#This Row],[Check (1)]]="YES",Mass_Data[[#This Row],[MDL axle group 1 mass]],Mass_Data[[#This Row],[MDL axle group 1 mass]]-(Mass_Data[[#This Row],[Difference between MDL and GCM]]*(Mass_Data[[#This Row],[MDL axle group 1 mass]]/Mass_Data[[#This Row],[Total (1)]]))),"")</f>
        <v>6.4212121212121209</v>
      </c>
      <c r="AD95" s="22">
        <f>IFERROR(IF(Mass_Data[[#This Row],[Check (1)]]="YES",Mass_Data[[#This Row],[MDL axle group 2 mass]],Mass_Data[[#This Row],[MDL axle group 2 mass]]-(Mass_Data[[#This Row],[Difference between MDL and GCM]]*(Mass_Data[[#This Row],[MDL axle group 2 mass]]/Mass_Data[[#This Row],[Total (1)]]))),"")</f>
        <v>16.793939393939393</v>
      </c>
      <c r="AE95" s="22">
        <f>IFERROR(IF(Mass_Data[[#This Row],[Check (1)]]="YES",Mass_Data[[#This Row],[MDL axle group 3 mass]],Mass_Data[[#This Row],[MDL axle group 3 mass]]-(Mass_Data[[#This Row],[Difference between MDL and GCM]]*(Mass_Data[[#This Row],[MDL axle group 3 mass]]/Mass_Data[[#This Row],[Total (1)]]))),"")</f>
        <v>20.745454545454546</v>
      </c>
      <c r="AF95" s="22">
        <f>IFERROR(IF(Mass_Data[[#This Row],[Check (1)]]="YES",Mass_Data[[#This Row],[MDL axle group 4 mass]],Mass_Data[[#This Row],[MDL axle group 4 mass]]-(Mass_Data[[#This Row],[Difference between MDL and GCM]]*(Mass_Data[[#This Row],[MDL axle group 4 mass]]/Mass_Data[[#This Row],[Total (1)]]))),"")</f>
        <v>16.793939393939393</v>
      </c>
      <c r="AG95" s="22">
        <f>IFERROR(IF(Mass_Data[[#This Row],[Check (1)]]="YES",Mass_Data[[#This Row],[MDL axle group 5 mass]],Mass_Data[[#This Row],[MDL axle group 5 mass]]-(Mass_Data[[#This Row],[Difference between MDL and GCM]]*(Mass_Data[[#This Row],[MDL axle group 5 mass]]/Mass_Data[[#This Row],[Total (1)]]))),"")</f>
        <v>20.745454545454546</v>
      </c>
      <c r="AH95" s="22" t="str">
        <f>IFERROR(IF(Mass_Data[[#This Row],[Check (1)]]="YES",Mass_Data[[#This Row],[MDL axle group 6 mass]],Mass_Data[[#This Row],[MDL axle group 6 mass]]-(Mass_Data[[#This Row],[Difference between MDL and GCM]]*(Mass_Data[[#This Row],[MDL axle group 6 mass]]/Mass_Data[[#This Row],[Total (1)]]))),"")</f>
        <v/>
      </c>
      <c r="AI95" s="22" t="str">
        <f>IFERROR(IF(Mass_Data[[#This Row],[Check (1)]]="YES",Mass_Data[[#This Row],[MDL axle group 7 mass]],Mass_Data[[#This Row],[MDL axle group 7 mass]]-(Mass_Data[[#This Row],[Difference between MDL and GCM]]*(Mass_Data[[#This Row],[MDL axle group 7 mass]]/Mass_Data[[#This Row],[Total (1)]]))),"")</f>
        <v/>
      </c>
      <c r="AJ95" s="81">
        <f>SUM(Mass_Data[[#This Row],[Corrected axle group 1 mass]:[Corrected axle group 7 mass]])</f>
        <v>81.5</v>
      </c>
      <c r="AK95">
        <f>Mass_Data[[#This Row],[Total (2)]]-Mass_Data[[#This Row],[GCM (t)]]</f>
        <v>0</v>
      </c>
      <c r="AL95" s="22" t="str">
        <f>IF(Mass_Data[[#This Row],[Difference between MDL and corrected axle masses]]=0,"YES","NO")</f>
        <v>YES</v>
      </c>
    </row>
    <row r="96" spans="3:38" x14ac:dyDescent="0.35">
      <c r="C96" s="10" t="str">
        <f t="shared" si="1"/>
        <v>PBS - 3-axle prime mover A-double (3-2-3) (HML): 3</v>
      </c>
      <c r="D96" s="10" t="s">
        <v>177</v>
      </c>
      <c r="E96" s="10" t="s">
        <v>147</v>
      </c>
      <c r="F96" s="10" t="s">
        <v>7</v>
      </c>
      <c r="G96" s="10" t="s">
        <v>5</v>
      </c>
      <c r="H96" t="s">
        <v>67</v>
      </c>
      <c r="I96" s="9">
        <v>85.5</v>
      </c>
      <c r="J96" s="14">
        <v>56.591223584597053</v>
      </c>
      <c r="K96" s="14">
        <f>Mass_Data[[#This Row],[GCM (t)]]-Mass_Data[[#This Row],[Payload (t)]]</f>
        <v>28.908776415402947</v>
      </c>
      <c r="L96" t="s">
        <v>8</v>
      </c>
      <c r="M96" t="s">
        <v>9</v>
      </c>
      <c r="N96" t="s">
        <v>10</v>
      </c>
      <c r="O96" t="s">
        <v>30</v>
      </c>
      <c r="P96" t="s">
        <v>10</v>
      </c>
      <c r="Q96">
        <v>0</v>
      </c>
      <c r="R96">
        <v>0</v>
      </c>
      <c r="S96" cm="1">
        <f t="array" ref="S96">_xlfn.XLOOKUP(Mass_Data[[#This Row],[axle group 1]]&amp;Mass_Data[[#This Row],[Mass Scheme]],Axle_Data[Axle Code]&amp;Axle_Data[Mass Scheme],Axle_Data[MDL Maximum Mass (t)],"",0)</f>
        <v>6.5</v>
      </c>
      <c r="T96" cm="1">
        <f t="array" ref="T96">_xlfn.XLOOKUP(Mass_Data[[#This Row],[axle group 2]]&amp;Mass_Data[[#This Row],[Mass Scheme]],Axle_Data[Axle Code]&amp;Axle_Data[Mass Scheme],Axle_Data[MDL Maximum Mass (t)],"",0)</f>
        <v>17</v>
      </c>
      <c r="U96" cm="1">
        <f t="array" ref="U96">_xlfn.XLOOKUP(Mass_Data[[#This Row],[axle group 3]]&amp;Mass_Data[[#This Row],[Mass Scheme]],Axle_Data[Axle Code]&amp;Axle_Data[Mass Scheme],Axle_Data[MDL Maximum Mass (t)],"",0)</f>
        <v>22.5</v>
      </c>
      <c r="V96" cm="1">
        <f t="array" ref="V96">_xlfn.XLOOKUP(Mass_Data[[#This Row],[axle group 4]]&amp;Mass_Data[[#This Row],[Mass Scheme]],Axle_Data[Axle Code]&amp;Axle_Data[Mass Scheme],Axle_Data[MDL Maximum Mass (t)],"",0)</f>
        <v>17</v>
      </c>
      <c r="W96" cm="1">
        <f t="array" ref="W96">_xlfn.XLOOKUP(Mass_Data[[#This Row],[axle group 5]]&amp;Mass_Data[[#This Row],[Mass Scheme]],Axle_Data[Axle Code]&amp;Axle_Data[Mass Scheme],Axle_Data[MDL Maximum Mass (t)],"",0)</f>
        <v>22.5</v>
      </c>
      <c r="X96" t="str" cm="1">
        <f t="array" ref="X96">_xlfn.XLOOKUP(Mass_Data[[#This Row],[axle group 6]]&amp;Mass_Data[[#This Row],[Mass Scheme]],Axle_Data[Axle Code]&amp;Axle_Data[Mass Scheme],Axle_Data[MDL Maximum Mass (t)],"",0)</f>
        <v/>
      </c>
      <c r="Y96" t="str" cm="1">
        <f t="array" ref="Y96">_xlfn.XLOOKUP(Mass_Data[[#This Row],[axle group 7]]&amp;Mass_Data[[#This Row],[Mass Scheme]],Axle_Data[Axle Code]&amp;Axle_Data[Mass Scheme],Axle_Data[MDL Maximum Mass (t)],"",0)</f>
        <v/>
      </c>
      <c r="Z96" s="81">
        <f>SUM(Mass_Data[[#This Row],[MDL axle group 1 mass]:[MDL axle group 7 mass]])</f>
        <v>85.5</v>
      </c>
      <c r="AA96">
        <f>Mass_Data[[#This Row],[Total (1)]]-Mass_Data[[#This Row],[GCM (t)]]</f>
        <v>0</v>
      </c>
      <c r="AB96" t="str">
        <f>IF(Mass_Data[[#This Row],[Difference between MDL and GCM]]=0,"YES","NO")</f>
        <v>YES</v>
      </c>
      <c r="AC96" s="22">
        <f>IFERROR(IF(Mass_Data[[#This Row],[Check (1)]]="YES",Mass_Data[[#This Row],[MDL axle group 1 mass]],Mass_Data[[#This Row],[MDL axle group 1 mass]]-(Mass_Data[[#This Row],[Difference between MDL and GCM]]*(Mass_Data[[#This Row],[MDL axle group 1 mass]]/Mass_Data[[#This Row],[Total (1)]]))),"")</f>
        <v>6.5</v>
      </c>
      <c r="AD96" s="22">
        <f>IFERROR(IF(Mass_Data[[#This Row],[Check (1)]]="YES",Mass_Data[[#This Row],[MDL axle group 2 mass]],Mass_Data[[#This Row],[MDL axle group 2 mass]]-(Mass_Data[[#This Row],[Difference between MDL and GCM]]*(Mass_Data[[#This Row],[MDL axle group 2 mass]]/Mass_Data[[#This Row],[Total (1)]]))),"")</f>
        <v>17</v>
      </c>
      <c r="AE96" s="22">
        <f>IFERROR(IF(Mass_Data[[#This Row],[Check (1)]]="YES",Mass_Data[[#This Row],[MDL axle group 3 mass]],Mass_Data[[#This Row],[MDL axle group 3 mass]]-(Mass_Data[[#This Row],[Difference between MDL and GCM]]*(Mass_Data[[#This Row],[MDL axle group 3 mass]]/Mass_Data[[#This Row],[Total (1)]]))),"")</f>
        <v>22.5</v>
      </c>
      <c r="AF96" s="22">
        <f>IFERROR(IF(Mass_Data[[#This Row],[Check (1)]]="YES",Mass_Data[[#This Row],[MDL axle group 4 mass]],Mass_Data[[#This Row],[MDL axle group 4 mass]]-(Mass_Data[[#This Row],[Difference between MDL and GCM]]*(Mass_Data[[#This Row],[MDL axle group 4 mass]]/Mass_Data[[#This Row],[Total (1)]]))),"")</f>
        <v>17</v>
      </c>
      <c r="AG96" s="22">
        <f>IFERROR(IF(Mass_Data[[#This Row],[Check (1)]]="YES",Mass_Data[[#This Row],[MDL axle group 5 mass]],Mass_Data[[#This Row],[MDL axle group 5 mass]]-(Mass_Data[[#This Row],[Difference between MDL and GCM]]*(Mass_Data[[#This Row],[MDL axle group 5 mass]]/Mass_Data[[#This Row],[Total (1)]]))),"")</f>
        <v>22.5</v>
      </c>
      <c r="AH96" s="22" t="str">
        <f>IFERROR(IF(Mass_Data[[#This Row],[Check (1)]]="YES",Mass_Data[[#This Row],[MDL axle group 6 mass]],Mass_Data[[#This Row],[MDL axle group 6 mass]]-(Mass_Data[[#This Row],[Difference between MDL and GCM]]*(Mass_Data[[#This Row],[MDL axle group 6 mass]]/Mass_Data[[#This Row],[Total (1)]]))),"")</f>
        <v/>
      </c>
      <c r="AI96" s="22" t="str">
        <f>IFERROR(IF(Mass_Data[[#This Row],[Check (1)]]="YES",Mass_Data[[#This Row],[MDL axle group 7 mass]],Mass_Data[[#This Row],[MDL axle group 7 mass]]-(Mass_Data[[#This Row],[Difference between MDL and GCM]]*(Mass_Data[[#This Row],[MDL axle group 7 mass]]/Mass_Data[[#This Row],[Total (1)]]))),"")</f>
        <v/>
      </c>
      <c r="AJ96" s="81">
        <f>SUM(Mass_Data[[#This Row],[Corrected axle group 1 mass]:[Corrected axle group 7 mass]])</f>
        <v>85.5</v>
      </c>
      <c r="AK96">
        <f>Mass_Data[[#This Row],[Total (2)]]-Mass_Data[[#This Row],[GCM (t)]]</f>
        <v>0</v>
      </c>
      <c r="AL96" s="22" t="str">
        <f>IF(Mass_Data[[#This Row],[Difference between MDL and corrected axle masses]]=0,"YES","NO")</f>
        <v>YES</v>
      </c>
    </row>
    <row r="97" spans="3:38" x14ac:dyDescent="0.35">
      <c r="C97" s="10" t="str">
        <f t="shared" si="1"/>
        <v>PBS - 3-axle prime mover A-double (3-3-3) (GML): 2</v>
      </c>
      <c r="D97" s="10" t="s">
        <v>175</v>
      </c>
      <c r="E97" s="10" t="s">
        <v>147</v>
      </c>
      <c r="F97" s="10" t="s">
        <v>18</v>
      </c>
      <c r="G97" s="10" t="s">
        <v>4</v>
      </c>
      <c r="H97" t="s">
        <v>68</v>
      </c>
      <c r="I97" s="9">
        <v>83</v>
      </c>
      <c r="J97" s="14">
        <v>53.066386588260059</v>
      </c>
      <c r="K97" s="14">
        <f>Mass_Data[[#This Row],[GCM (t)]]-Mass_Data[[#This Row],[Payload (t)]]</f>
        <v>29.933613411739941</v>
      </c>
      <c r="L97" t="s">
        <v>8</v>
      </c>
      <c r="M97" t="s">
        <v>9</v>
      </c>
      <c r="N97" t="s">
        <v>10</v>
      </c>
      <c r="O97" t="s">
        <v>10</v>
      </c>
      <c r="P97" t="s">
        <v>10</v>
      </c>
      <c r="Q97">
        <v>0</v>
      </c>
      <c r="R97">
        <v>0</v>
      </c>
      <c r="S97" cm="1">
        <f t="array" ref="S97">_xlfn.XLOOKUP(Mass_Data[[#This Row],[axle group 1]]&amp;Mass_Data[[#This Row],[Mass Scheme]],Axle_Data[Axle Code]&amp;Axle_Data[Mass Scheme],Axle_Data[MDL Maximum Mass (t)],"",0)</f>
        <v>6.5</v>
      </c>
      <c r="T97" cm="1">
        <f t="array" ref="T97">_xlfn.XLOOKUP(Mass_Data[[#This Row],[axle group 2]]&amp;Mass_Data[[#This Row],[Mass Scheme]],Axle_Data[Axle Code]&amp;Axle_Data[Mass Scheme],Axle_Data[MDL Maximum Mass (t)],"",0)</f>
        <v>16.5</v>
      </c>
      <c r="U97" cm="1">
        <f t="array" ref="U97">_xlfn.XLOOKUP(Mass_Data[[#This Row],[axle group 3]]&amp;Mass_Data[[#This Row],[Mass Scheme]],Axle_Data[Axle Code]&amp;Axle_Data[Mass Scheme],Axle_Data[MDL Maximum Mass (t)],"",0)</f>
        <v>20</v>
      </c>
      <c r="V97" cm="1">
        <f t="array" ref="V97">_xlfn.XLOOKUP(Mass_Data[[#This Row],[axle group 4]]&amp;Mass_Data[[#This Row],[Mass Scheme]],Axle_Data[Axle Code]&amp;Axle_Data[Mass Scheme],Axle_Data[MDL Maximum Mass (t)],"",0)</f>
        <v>20</v>
      </c>
      <c r="W97" cm="1">
        <f t="array" ref="W97">_xlfn.XLOOKUP(Mass_Data[[#This Row],[axle group 5]]&amp;Mass_Data[[#This Row],[Mass Scheme]],Axle_Data[Axle Code]&amp;Axle_Data[Mass Scheme],Axle_Data[MDL Maximum Mass (t)],"",0)</f>
        <v>20</v>
      </c>
      <c r="X97" t="str" cm="1">
        <f t="array" ref="X97">_xlfn.XLOOKUP(Mass_Data[[#This Row],[axle group 6]]&amp;Mass_Data[[#This Row],[Mass Scheme]],Axle_Data[Axle Code]&amp;Axle_Data[Mass Scheme],Axle_Data[MDL Maximum Mass (t)],"",0)</f>
        <v/>
      </c>
      <c r="Y97" t="str" cm="1">
        <f t="array" ref="Y97">_xlfn.XLOOKUP(Mass_Data[[#This Row],[axle group 7]]&amp;Mass_Data[[#This Row],[Mass Scheme]],Axle_Data[Axle Code]&amp;Axle_Data[Mass Scheme],Axle_Data[MDL Maximum Mass (t)],"",0)</f>
        <v/>
      </c>
      <c r="Z97" s="81">
        <f>SUM(Mass_Data[[#This Row],[MDL axle group 1 mass]:[MDL axle group 7 mass]])</f>
        <v>83</v>
      </c>
      <c r="AA97">
        <f>Mass_Data[[#This Row],[Total (1)]]-Mass_Data[[#This Row],[GCM (t)]]</f>
        <v>0</v>
      </c>
      <c r="AB97" t="str">
        <f>IF(Mass_Data[[#This Row],[Difference between MDL and GCM]]=0,"YES","NO")</f>
        <v>YES</v>
      </c>
      <c r="AC97" s="22">
        <f>IFERROR(IF(Mass_Data[[#This Row],[Check (1)]]="YES",Mass_Data[[#This Row],[MDL axle group 1 mass]],Mass_Data[[#This Row],[MDL axle group 1 mass]]-(Mass_Data[[#This Row],[Difference between MDL and GCM]]*(Mass_Data[[#This Row],[MDL axle group 1 mass]]/Mass_Data[[#This Row],[Total (1)]]))),"")</f>
        <v>6.5</v>
      </c>
      <c r="AD97" s="22">
        <f>IFERROR(IF(Mass_Data[[#This Row],[Check (1)]]="YES",Mass_Data[[#This Row],[MDL axle group 2 mass]],Mass_Data[[#This Row],[MDL axle group 2 mass]]-(Mass_Data[[#This Row],[Difference between MDL and GCM]]*(Mass_Data[[#This Row],[MDL axle group 2 mass]]/Mass_Data[[#This Row],[Total (1)]]))),"")</f>
        <v>16.5</v>
      </c>
      <c r="AE97" s="22">
        <f>IFERROR(IF(Mass_Data[[#This Row],[Check (1)]]="YES",Mass_Data[[#This Row],[MDL axle group 3 mass]],Mass_Data[[#This Row],[MDL axle group 3 mass]]-(Mass_Data[[#This Row],[Difference between MDL and GCM]]*(Mass_Data[[#This Row],[MDL axle group 3 mass]]/Mass_Data[[#This Row],[Total (1)]]))),"")</f>
        <v>20</v>
      </c>
      <c r="AF97" s="22">
        <f>IFERROR(IF(Mass_Data[[#This Row],[Check (1)]]="YES",Mass_Data[[#This Row],[MDL axle group 4 mass]],Mass_Data[[#This Row],[MDL axle group 4 mass]]-(Mass_Data[[#This Row],[Difference between MDL and GCM]]*(Mass_Data[[#This Row],[MDL axle group 4 mass]]/Mass_Data[[#This Row],[Total (1)]]))),"")</f>
        <v>20</v>
      </c>
      <c r="AG97" s="22">
        <f>IFERROR(IF(Mass_Data[[#This Row],[Check (1)]]="YES",Mass_Data[[#This Row],[MDL axle group 5 mass]],Mass_Data[[#This Row],[MDL axle group 5 mass]]-(Mass_Data[[#This Row],[Difference between MDL and GCM]]*(Mass_Data[[#This Row],[MDL axle group 5 mass]]/Mass_Data[[#This Row],[Total (1)]]))),"")</f>
        <v>20</v>
      </c>
      <c r="AH97" s="22" t="str">
        <f>IFERROR(IF(Mass_Data[[#This Row],[Check (1)]]="YES",Mass_Data[[#This Row],[MDL axle group 6 mass]],Mass_Data[[#This Row],[MDL axle group 6 mass]]-(Mass_Data[[#This Row],[Difference between MDL and GCM]]*(Mass_Data[[#This Row],[MDL axle group 6 mass]]/Mass_Data[[#This Row],[Total (1)]]))),"")</f>
        <v/>
      </c>
      <c r="AI97" s="22" t="str">
        <f>IFERROR(IF(Mass_Data[[#This Row],[Check (1)]]="YES",Mass_Data[[#This Row],[MDL axle group 7 mass]],Mass_Data[[#This Row],[MDL axle group 7 mass]]-(Mass_Data[[#This Row],[Difference between MDL and GCM]]*(Mass_Data[[#This Row],[MDL axle group 7 mass]]/Mass_Data[[#This Row],[Total (1)]]))),"")</f>
        <v/>
      </c>
      <c r="AJ97" s="81">
        <f>SUM(Mass_Data[[#This Row],[Corrected axle group 1 mass]:[Corrected axle group 7 mass]])</f>
        <v>83</v>
      </c>
      <c r="AK97">
        <f>Mass_Data[[#This Row],[Total (2)]]-Mass_Data[[#This Row],[GCM (t)]]</f>
        <v>0</v>
      </c>
      <c r="AL97" s="22" t="str">
        <f>IF(Mass_Data[[#This Row],[Difference between MDL and corrected axle masses]]=0,"YES","NO")</f>
        <v>YES</v>
      </c>
    </row>
    <row r="98" spans="3:38" x14ac:dyDescent="0.35">
      <c r="C98" s="10" t="str">
        <f t="shared" si="1"/>
        <v>PBS - 3-axle prime mover A-double (3-3-3) (CML): 2</v>
      </c>
      <c r="D98" s="10" t="s">
        <v>175</v>
      </c>
      <c r="E98" s="10" t="s">
        <v>147</v>
      </c>
      <c r="F98" s="10" t="s">
        <v>20</v>
      </c>
      <c r="G98" s="10" t="s">
        <v>4</v>
      </c>
      <c r="H98" t="s">
        <v>68</v>
      </c>
      <c r="I98" s="9">
        <v>85</v>
      </c>
      <c r="J98" s="14">
        <v>55.066386588260059</v>
      </c>
      <c r="K98" s="14">
        <f>Mass_Data[[#This Row],[GCM (t)]]-Mass_Data[[#This Row],[Payload (t)]]</f>
        <v>29.933613411739941</v>
      </c>
      <c r="L98" t="s">
        <v>8</v>
      </c>
      <c r="M98" t="s">
        <v>9</v>
      </c>
      <c r="N98" t="s">
        <v>10</v>
      </c>
      <c r="O98" t="s">
        <v>10</v>
      </c>
      <c r="P98" t="s">
        <v>10</v>
      </c>
      <c r="Q98">
        <v>0</v>
      </c>
      <c r="R98">
        <v>0</v>
      </c>
      <c r="S98" cm="1">
        <f t="array" ref="S98">_xlfn.XLOOKUP(Mass_Data[[#This Row],[axle group 1]]&amp;Mass_Data[[#This Row],[Mass Scheme]],Axle_Data[Axle Code]&amp;Axle_Data[Mass Scheme],Axle_Data[MDL Maximum Mass (t)],"",0)</f>
        <v>6.5</v>
      </c>
      <c r="T98" cm="1">
        <f t="array" ref="T98">_xlfn.XLOOKUP(Mass_Data[[#This Row],[axle group 2]]&amp;Mass_Data[[#This Row],[Mass Scheme]],Axle_Data[Axle Code]&amp;Axle_Data[Mass Scheme],Axle_Data[MDL Maximum Mass (t)],"",0)</f>
        <v>17</v>
      </c>
      <c r="U98" cm="1">
        <f t="array" ref="U98">_xlfn.XLOOKUP(Mass_Data[[#This Row],[axle group 3]]&amp;Mass_Data[[#This Row],[Mass Scheme]],Axle_Data[Axle Code]&amp;Axle_Data[Mass Scheme],Axle_Data[MDL Maximum Mass (t)],"",0)</f>
        <v>21</v>
      </c>
      <c r="V98" cm="1">
        <f t="array" ref="V98">_xlfn.XLOOKUP(Mass_Data[[#This Row],[axle group 4]]&amp;Mass_Data[[#This Row],[Mass Scheme]],Axle_Data[Axle Code]&amp;Axle_Data[Mass Scheme],Axle_Data[MDL Maximum Mass (t)],"",0)</f>
        <v>21</v>
      </c>
      <c r="W98" cm="1">
        <f t="array" ref="W98">_xlfn.XLOOKUP(Mass_Data[[#This Row],[axle group 5]]&amp;Mass_Data[[#This Row],[Mass Scheme]],Axle_Data[Axle Code]&amp;Axle_Data[Mass Scheme],Axle_Data[MDL Maximum Mass (t)],"",0)</f>
        <v>21</v>
      </c>
      <c r="X98" t="str" cm="1">
        <f t="array" ref="X98">_xlfn.XLOOKUP(Mass_Data[[#This Row],[axle group 6]]&amp;Mass_Data[[#This Row],[Mass Scheme]],Axle_Data[Axle Code]&amp;Axle_Data[Mass Scheme],Axle_Data[MDL Maximum Mass (t)],"",0)</f>
        <v/>
      </c>
      <c r="Y98" t="str" cm="1">
        <f t="array" ref="Y98">_xlfn.XLOOKUP(Mass_Data[[#This Row],[axle group 7]]&amp;Mass_Data[[#This Row],[Mass Scheme]],Axle_Data[Axle Code]&amp;Axle_Data[Mass Scheme],Axle_Data[MDL Maximum Mass (t)],"",0)</f>
        <v/>
      </c>
      <c r="Z98" s="81">
        <f>SUM(Mass_Data[[#This Row],[MDL axle group 1 mass]:[MDL axle group 7 mass]])</f>
        <v>86.5</v>
      </c>
      <c r="AA98">
        <f>Mass_Data[[#This Row],[Total (1)]]-Mass_Data[[#This Row],[GCM (t)]]</f>
        <v>1.5</v>
      </c>
      <c r="AB98" t="str">
        <f>IF(Mass_Data[[#This Row],[Difference between MDL and GCM]]=0,"YES","NO")</f>
        <v>NO</v>
      </c>
      <c r="AC98" s="22">
        <f>IFERROR(IF(Mass_Data[[#This Row],[Check (1)]]="YES",Mass_Data[[#This Row],[MDL axle group 1 mass]],Mass_Data[[#This Row],[MDL axle group 1 mass]]-(Mass_Data[[#This Row],[Difference between MDL and GCM]]*(Mass_Data[[#This Row],[MDL axle group 1 mass]]/Mass_Data[[#This Row],[Total (1)]]))),"")</f>
        <v>6.3872832369942198</v>
      </c>
      <c r="AD98" s="22">
        <f>IFERROR(IF(Mass_Data[[#This Row],[Check (1)]]="YES",Mass_Data[[#This Row],[MDL axle group 2 mass]],Mass_Data[[#This Row],[MDL axle group 2 mass]]-(Mass_Data[[#This Row],[Difference between MDL and GCM]]*(Mass_Data[[#This Row],[MDL axle group 2 mass]]/Mass_Data[[#This Row],[Total (1)]]))),"")</f>
        <v>16.705202312138727</v>
      </c>
      <c r="AE98" s="22">
        <f>IFERROR(IF(Mass_Data[[#This Row],[Check (1)]]="YES",Mass_Data[[#This Row],[MDL axle group 3 mass]],Mass_Data[[#This Row],[MDL axle group 3 mass]]-(Mass_Data[[#This Row],[Difference between MDL and GCM]]*(Mass_Data[[#This Row],[MDL axle group 3 mass]]/Mass_Data[[#This Row],[Total (1)]]))),"")</f>
        <v>20.635838150289018</v>
      </c>
      <c r="AF98" s="22">
        <f>IFERROR(IF(Mass_Data[[#This Row],[Check (1)]]="YES",Mass_Data[[#This Row],[MDL axle group 4 mass]],Mass_Data[[#This Row],[MDL axle group 4 mass]]-(Mass_Data[[#This Row],[Difference between MDL and GCM]]*(Mass_Data[[#This Row],[MDL axle group 4 mass]]/Mass_Data[[#This Row],[Total (1)]]))),"")</f>
        <v>20.635838150289018</v>
      </c>
      <c r="AG98" s="22">
        <f>IFERROR(IF(Mass_Data[[#This Row],[Check (1)]]="YES",Mass_Data[[#This Row],[MDL axle group 5 mass]],Mass_Data[[#This Row],[MDL axle group 5 mass]]-(Mass_Data[[#This Row],[Difference between MDL and GCM]]*(Mass_Data[[#This Row],[MDL axle group 5 mass]]/Mass_Data[[#This Row],[Total (1)]]))),"")</f>
        <v>20.635838150289018</v>
      </c>
      <c r="AH98" s="22" t="str">
        <f>IFERROR(IF(Mass_Data[[#This Row],[Check (1)]]="YES",Mass_Data[[#This Row],[MDL axle group 6 mass]],Mass_Data[[#This Row],[MDL axle group 6 mass]]-(Mass_Data[[#This Row],[Difference between MDL and GCM]]*(Mass_Data[[#This Row],[MDL axle group 6 mass]]/Mass_Data[[#This Row],[Total (1)]]))),"")</f>
        <v/>
      </c>
      <c r="AI98" s="22" t="str">
        <f>IFERROR(IF(Mass_Data[[#This Row],[Check (1)]]="YES",Mass_Data[[#This Row],[MDL axle group 7 mass]],Mass_Data[[#This Row],[MDL axle group 7 mass]]-(Mass_Data[[#This Row],[Difference between MDL and GCM]]*(Mass_Data[[#This Row],[MDL axle group 7 mass]]/Mass_Data[[#This Row],[Total (1)]]))),"")</f>
        <v/>
      </c>
      <c r="AJ98" s="81">
        <f>SUM(Mass_Data[[#This Row],[Corrected axle group 1 mass]:[Corrected axle group 7 mass]])</f>
        <v>85</v>
      </c>
      <c r="AK98">
        <f>Mass_Data[[#This Row],[Total (2)]]-Mass_Data[[#This Row],[GCM (t)]]</f>
        <v>0</v>
      </c>
      <c r="AL98" s="22" t="str">
        <f>IF(Mass_Data[[#This Row],[Difference between MDL and corrected axle masses]]=0,"YES","NO")</f>
        <v>YES</v>
      </c>
    </row>
    <row r="99" spans="3:38" x14ac:dyDescent="0.35">
      <c r="C99" s="10" t="str">
        <f t="shared" si="1"/>
        <v>PBS - 3-axle prime mover A-double (3-3-3) (HML): 2</v>
      </c>
      <c r="D99" s="10" t="s">
        <v>175</v>
      </c>
      <c r="E99" s="10" t="s">
        <v>147</v>
      </c>
      <c r="F99" s="10" t="s">
        <v>7</v>
      </c>
      <c r="G99" s="10" t="s">
        <v>4</v>
      </c>
      <c r="H99" t="s">
        <v>68</v>
      </c>
      <c r="I99" s="9">
        <v>85</v>
      </c>
      <c r="J99" s="14">
        <v>55.066386588260059</v>
      </c>
      <c r="K99" s="14">
        <f>Mass_Data[[#This Row],[GCM (t)]]-Mass_Data[[#This Row],[Payload (t)]]</f>
        <v>29.933613411739941</v>
      </c>
      <c r="L99" t="s">
        <v>8</v>
      </c>
      <c r="M99" t="s">
        <v>9</v>
      </c>
      <c r="N99" t="s">
        <v>10</v>
      </c>
      <c r="O99" t="s">
        <v>10</v>
      </c>
      <c r="P99" t="s">
        <v>10</v>
      </c>
      <c r="Q99">
        <v>0</v>
      </c>
      <c r="R99">
        <v>0</v>
      </c>
      <c r="S99" cm="1">
        <f t="array" ref="S99">_xlfn.XLOOKUP(Mass_Data[[#This Row],[axle group 1]]&amp;Mass_Data[[#This Row],[Mass Scheme]],Axle_Data[Axle Code]&amp;Axle_Data[Mass Scheme],Axle_Data[MDL Maximum Mass (t)],"",0)</f>
        <v>6.5</v>
      </c>
      <c r="T99" cm="1">
        <f t="array" ref="T99">_xlfn.XLOOKUP(Mass_Data[[#This Row],[axle group 2]]&amp;Mass_Data[[#This Row],[Mass Scheme]],Axle_Data[Axle Code]&amp;Axle_Data[Mass Scheme],Axle_Data[MDL Maximum Mass (t)],"",0)</f>
        <v>17</v>
      </c>
      <c r="U99" cm="1">
        <f t="array" ref="U99">_xlfn.XLOOKUP(Mass_Data[[#This Row],[axle group 3]]&amp;Mass_Data[[#This Row],[Mass Scheme]],Axle_Data[Axle Code]&amp;Axle_Data[Mass Scheme],Axle_Data[MDL Maximum Mass (t)],"",0)</f>
        <v>22.5</v>
      </c>
      <c r="V99" cm="1">
        <f t="array" ref="V99">_xlfn.XLOOKUP(Mass_Data[[#This Row],[axle group 4]]&amp;Mass_Data[[#This Row],[Mass Scheme]],Axle_Data[Axle Code]&amp;Axle_Data[Mass Scheme],Axle_Data[MDL Maximum Mass (t)],"",0)</f>
        <v>22.5</v>
      </c>
      <c r="W99" cm="1">
        <f t="array" ref="W99">_xlfn.XLOOKUP(Mass_Data[[#This Row],[axle group 5]]&amp;Mass_Data[[#This Row],[Mass Scheme]],Axle_Data[Axle Code]&amp;Axle_Data[Mass Scheme],Axle_Data[MDL Maximum Mass (t)],"",0)</f>
        <v>22.5</v>
      </c>
      <c r="X99" t="str" cm="1">
        <f t="array" ref="X99">_xlfn.XLOOKUP(Mass_Data[[#This Row],[axle group 6]]&amp;Mass_Data[[#This Row],[Mass Scheme]],Axle_Data[Axle Code]&amp;Axle_Data[Mass Scheme],Axle_Data[MDL Maximum Mass (t)],"",0)</f>
        <v/>
      </c>
      <c r="Y99" t="str" cm="1">
        <f t="array" ref="Y99">_xlfn.XLOOKUP(Mass_Data[[#This Row],[axle group 7]]&amp;Mass_Data[[#This Row],[Mass Scheme]],Axle_Data[Axle Code]&amp;Axle_Data[Mass Scheme],Axle_Data[MDL Maximum Mass (t)],"",0)</f>
        <v/>
      </c>
      <c r="Z99" s="81">
        <f>SUM(Mass_Data[[#This Row],[MDL axle group 1 mass]:[MDL axle group 7 mass]])</f>
        <v>91</v>
      </c>
      <c r="AA99">
        <f>Mass_Data[[#This Row],[Total (1)]]-Mass_Data[[#This Row],[GCM (t)]]</f>
        <v>6</v>
      </c>
      <c r="AB99" t="str">
        <f>IF(Mass_Data[[#This Row],[Difference between MDL and GCM]]=0,"YES","NO")</f>
        <v>NO</v>
      </c>
      <c r="AC99" s="22">
        <f>IFERROR(IF(Mass_Data[[#This Row],[Check (1)]]="YES",Mass_Data[[#This Row],[MDL axle group 1 mass]],Mass_Data[[#This Row],[MDL axle group 1 mass]]-(Mass_Data[[#This Row],[Difference between MDL and GCM]]*(Mass_Data[[#This Row],[MDL axle group 1 mass]]/Mass_Data[[#This Row],[Total (1)]]))),"")</f>
        <v>6.0714285714285712</v>
      </c>
      <c r="AD99" s="22">
        <f>IFERROR(IF(Mass_Data[[#This Row],[Check (1)]]="YES",Mass_Data[[#This Row],[MDL axle group 2 mass]],Mass_Data[[#This Row],[MDL axle group 2 mass]]-(Mass_Data[[#This Row],[Difference between MDL and GCM]]*(Mass_Data[[#This Row],[MDL axle group 2 mass]]/Mass_Data[[#This Row],[Total (1)]]))),"")</f>
        <v>15.87912087912088</v>
      </c>
      <c r="AE99" s="22">
        <f>IFERROR(IF(Mass_Data[[#This Row],[Check (1)]]="YES",Mass_Data[[#This Row],[MDL axle group 3 mass]],Mass_Data[[#This Row],[MDL axle group 3 mass]]-(Mass_Data[[#This Row],[Difference between MDL and GCM]]*(Mass_Data[[#This Row],[MDL axle group 3 mass]]/Mass_Data[[#This Row],[Total (1)]]))),"")</f>
        <v>21.016483516483518</v>
      </c>
      <c r="AF99" s="22">
        <f>IFERROR(IF(Mass_Data[[#This Row],[Check (1)]]="YES",Mass_Data[[#This Row],[MDL axle group 4 mass]],Mass_Data[[#This Row],[MDL axle group 4 mass]]-(Mass_Data[[#This Row],[Difference between MDL and GCM]]*(Mass_Data[[#This Row],[MDL axle group 4 mass]]/Mass_Data[[#This Row],[Total (1)]]))),"")</f>
        <v>21.016483516483518</v>
      </c>
      <c r="AG99" s="22">
        <f>IFERROR(IF(Mass_Data[[#This Row],[Check (1)]]="YES",Mass_Data[[#This Row],[MDL axle group 5 mass]],Mass_Data[[#This Row],[MDL axle group 5 mass]]-(Mass_Data[[#This Row],[Difference between MDL and GCM]]*(Mass_Data[[#This Row],[MDL axle group 5 mass]]/Mass_Data[[#This Row],[Total (1)]]))),"")</f>
        <v>21.016483516483518</v>
      </c>
      <c r="AH99" s="22" t="str">
        <f>IFERROR(IF(Mass_Data[[#This Row],[Check (1)]]="YES",Mass_Data[[#This Row],[MDL axle group 6 mass]],Mass_Data[[#This Row],[MDL axle group 6 mass]]-(Mass_Data[[#This Row],[Difference between MDL and GCM]]*(Mass_Data[[#This Row],[MDL axle group 6 mass]]/Mass_Data[[#This Row],[Total (1)]]))),"")</f>
        <v/>
      </c>
      <c r="AI99" s="22" t="str">
        <f>IFERROR(IF(Mass_Data[[#This Row],[Check (1)]]="YES",Mass_Data[[#This Row],[MDL axle group 7 mass]],Mass_Data[[#This Row],[MDL axle group 7 mass]]-(Mass_Data[[#This Row],[Difference between MDL and GCM]]*(Mass_Data[[#This Row],[MDL axle group 7 mass]]/Mass_Data[[#This Row],[Total (1)]]))),"")</f>
        <v/>
      </c>
      <c r="AJ99" s="81">
        <f>SUM(Mass_Data[[#This Row],[Corrected axle group 1 mass]:[Corrected axle group 7 mass]])</f>
        <v>85</v>
      </c>
      <c r="AK99">
        <f>Mass_Data[[#This Row],[Total (2)]]-Mass_Data[[#This Row],[GCM (t)]]</f>
        <v>0</v>
      </c>
      <c r="AL99" s="22" t="str">
        <f>IF(Mass_Data[[#This Row],[Difference between MDL and corrected axle masses]]=0,"YES","NO")</f>
        <v>YES</v>
      </c>
    </row>
    <row r="100" spans="3:38" x14ac:dyDescent="0.35">
      <c r="C100" s="10" t="str">
        <f t="shared" si="1"/>
        <v>PBS - 3-axle prime mover A-double (3-3-3) (GML): 3</v>
      </c>
      <c r="D100" s="10" t="s">
        <v>175</v>
      </c>
      <c r="E100" s="10" t="s">
        <v>147</v>
      </c>
      <c r="F100" s="10" t="s">
        <v>18</v>
      </c>
      <c r="G100" s="10" t="s">
        <v>5</v>
      </c>
      <c r="H100" t="s">
        <v>68</v>
      </c>
      <c r="I100" s="9">
        <v>83</v>
      </c>
      <c r="J100" s="14">
        <v>53.066386588260059</v>
      </c>
      <c r="K100" s="14">
        <f>Mass_Data[[#This Row],[GCM (t)]]-Mass_Data[[#This Row],[Payload (t)]]</f>
        <v>29.933613411739941</v>
      </c>
      <c r="L100" t="s">
        <v>8</v>
      </c>
      <c r="M100" t="s">
        <v>9</v>
      </c>
      <c r="N100" t="s">
        <v>10</v>
      </c>
      <c r="O100" t="s">
        <v>10</v>
      </c>
      <c r="P100" t="s">
        <v>10</v>
      </c>
      <c r="Q100">
        <v>0</v>
      </c>
      <c r="R100">
        <v>0</v>
      </c>
      <c r="S100" cm="1">
        <f t="array" ref="S100">_xlfn.XLOOKUP(Mass_Data[[#This Row],[axle group 1]]&amp;Mass_Data[[#This Row],[Mass Scheme]],Axle_Data[Axle Code]&amp;Axle_Data[Mass Scheme],Axle_Data[MDL Maximum Mass (t)],"",0)</f>
        <v>6.5</v>
      </c>
      <c r="T100" cm="1">
        <f t="array" ref="T100">_xlfn.XLOOKUP(Mass_Data[[#This Row],[axle group 2]]&amp;Mass_Data[[#This Row],[Mass Scheme]],Axle_Data[Axle Code]&amp;Axle_Data[Mass Scheme],Axle_Data[MDL Maximum Mass (t)],"",0)</f>
        <v>16.5</v>
      </c>
      <c r="U100" cm="1">
        <f t="array" ref="U100">_xlfn.XLOOKUP(Mass_Data[[#This Row],[axle group 3]]&amp;Mass_Data[[#This Row],[Mass Scheme]],Axle_Data[Axle Code]&amp;Axle_Data[Mass Scheme],Axle_Data[MDL Maximum Mass (t)],"",0)</f>
        <v>20</v>
      </c>
      <c r="V100" cm="1">
        <f t="array" ref="V100">_xlfn.XLOOKUP(Mass_Data[[#This Row],[axle group 4]]&amp;Mass_Data[[#This Row],[Mass Scheme]],Axle_Data[Axle Code]&amp;Axle_Data[Mass Scheme],Axle_Data[MDL Maximum Mass (t)],"",0)</f>
        <v>20</v>
      </c>
      <c r="W100" cm="1">
        <f t="array" ref="W100">_xlfn.XLOOKUP(Mass_Data[[#This Row],[axle group 5]]&amp;Mass_Data[[#This Row],[Mass Scheme]],Axle_Data[Axle Code]&amp;Axle_Data[Mass Scheme],Axle_Data[MDL Maximum Mass (t)],"",0)</f>
        <v>20</v>
      </c>
      <c r="X100" t="str" cm="1">
        <f t="array" ref="X100">_xlfn.XLOOKUP(Mass_Data[[#This Row],[axle group 6]]&amp;Mass_Data[[#This Row],[Mass Scheme]],Axle_Data[Axle Code]&amp;Axle_Data[Mass Scheme],Axle_Data[MDL Maximum Mass (t)],"",0)</f>
        <v/>
      </c>
      <c r="Y100" t="str" cm="1">
        <f t="array" ref="Y100">_xlfn.XLOOKUP(Mass_Data[[#This Row],[axle group 7]]&amp;Mass_Data[[#This Row],[Mass Scheme]],Axle_Data[Axle Code]&amp;Axle_Data[Mass Scheme],Axle_Data[MDL Maximum Mass (t)],"",0)</f>
        <v/>
      </c>
      <c r="Z100" s="81">
        <f>SUM(Mass_Data[[#This Row],[MDL axle group 1 mass]:[MDL axle group 7 mass]])</f>
        <v>83</v>
      </c>
      <c r="AA100">
        <f>Mass_Data[[#This Row],[Total (1)]]-Mass_Data[[#This Row],[GCM (t)]]</f>
        <v>0</v>
      </c>
      <c r="AB100" t="str">
        <f>IF(Mass_Data[[#This Row],[Difference between MDL and GCM]]=0,"YES","NO")</f>
        <v>YES</v>
      </c>
      <c r="AC100" s="22">
        <f>IFERROR(IF(Mass_Data[[#This Row],[Check (1)]]="YES",Mass_Data[[#This Row],[MDL axle group 1 mass]],Mass_Data[[#This Row],[MDL axle group 1 mass]]-(Mass_Data[[#This Row],[Difference between MDL and GCM]]*(Mass_Data[[#This Row],[MDL axle group 1 mass]]/Mass_Data[[#This Row],[Total (1)]]))),"")</f>
        <v>6.5</v>
      </c>
      <c r="AD100" s="22">
        <f>IFERROR(IF(Mass_Data[[#This Row],[Check (1)]]="YES",Mass_Data[[#This Row],[MDL axle group 2 mass]],Mass_Data[[#This Row],[MDL axle group 2 mass]]-(Mass_Data[[#This Row],[Difference between MDL and GCM]]*(Mass_Data[[#This Row],[MDL axle group 2 mass]]/Mass_Data[[#This Row],[Total (1)]]))),"")</f>
        <v>16.5</v>
      </c>
      <c r="AE100" s="22">
        <f>IFERROR(IF(Mass_Data[[#This Row],[Check (1)]]="YES",Mass_Data[[#This Row],[MDL axle group 3 mass]],Mass_Data[[#This Row],[MDL axle group 3 mass]]-(Mass_Data[[#This Row],[Difference between MDL and GCM]]*(Mass_Data[[#This Row],[MDL axle group 3 mass]]/Mass_Data[[#This Row],[Total (1)]]))),"")</f>
        <v>20</v>
      </c>
      <c r="AF100" s="22">
        <f>IFERROR(IF(Mass_Data[[#This Row],[Check (1)]]="YES",Mass_Data[[#This Row],[MDL axle group 4 mass]],Mass_Data[[#This Row],[MDL axle group 4 mass]]-(Mass_Data[[#This Row],[Difference between MDL and GCM]]*(Mass_Data[[#This Row],[MDL axle group 4 mass]]/Mass_Data[[#This Row],[Total (1)]]))),"")</f>
        <v>20</v>
      </c>
      <c r="AG100" s="22">
        <f>IFERROR(IF(Mass_Data[[#This Row],[Check (1)]]="YES",Mass_Data[[#This Row],[MDL axle group 5 mass]],Mass_Data[[#This Row],[MDL axle group 5 mass]]-(Mass_Data[[#This Row],[Difference between MDL and GCM]]*(Mass_Data[[#This Row],[MDL axle group 5 mass]]/Mass_Data[[#This Row],[Total (1)]]))),"")</f>
        <v>20</v>
      </c>
      <c r="AH100" s="22" t="str">
        <f>IFERROR(IF(Mass_Data[[#This Row],[Check (1)]]="YES",Mass_Data[[#This Row],[MDL axle group 6 mass]],Mass_Data[[#This Row],[MDL axle group 6 mass]]-(Mass_Data[[#This Row],[Difference between MDL and GCM]]*(Mass_Data[[#This Row],[MDL axle group 6 mass]]/Mass_Data[[#This Row],[Total (1)]]))),"")</f>
        <v/>
      </c>
      <c r="AI100" s="22" t="str">
        <f>IFERROR(IF(Mass_Data[[#This Row],[Check (1)]]="YES",Mass_Data[[#This Row],[MDL axle group 7 mass]],Mass_Data[[#This Row],[MDL axle group 7 mass]]-(Mass_Data[[#This Row],[Difference between MDL and GCM]]*(Mass_Data[[#This Row],[MDL axle group 7 mass]]/Mass_Data[[#This Row],[Total (1)]]))),"")</f>
        <v/>
      </c>
      <c r="AJ100" s="81">
        <f>SUM(Mass_Data[[#This Row],[Corrected axle group 1 mass]:[Corrected axle group 7 mass]])</f>
        <v>83</v>
      </c>
      <c r="AK100">
        <f>Mass_Data[[#This Row],[Total (2)]]-Mass_Data[[#This Row],[GCM (t)]]</f>
        <v>0</v>
      </c>
      <c r="AL100" s="22" t="str">
        <f>IF(Mass_Data[[#This Row],[Difference between MDL and corrected axle masses]]=0,"YES","NO")</f>
        <v>YES</v>
      </c>
    </row>
    <row r="101" spans="3:38" x14ac:dyDescent="0.35">
      <c r="C101" s="10" t="str">
        <f t="shared" si="1"/>
        <v>PBS - 3-axle prime mover A-double (3-3-3) (CML): 3</v>
      </c>
      <c r="D101" s="10" t="s">
        <v>175</v>
      </c>
      <c r="E101" s="10" t="s">
        <v>147</v>
      </c>
      <c r="F101" s="10" t="s">
        <v>20</v>
      </c>
      <c r="G101" s="10" t="s">
        <v>5</v>
      </c>
      <c r="H101" t="s">
        <v>68</v>
      </c>
      <c r="I101" s="9">
        <v>85</v>
      </c>
      <c r="J101" s="14">
        <v>55.066386588260059</v>
      </c>
      <c r="K101" s="14">
        <f>Mass_Data[[#This Row],[GCM (t)]]-Mass_Data[[#This Row],[Payload (t)]]</f>
        <v>29.933613411739941</v>
      </c>
      <c r="L101" t="s">
        <v>8</v>
      </c>
      <c r="M101" t="s">
        <v>9</v>
      </c>
      <c r="N101" t="s">
        <v>10</v>
      </c>
      <c r="O101" t="s">
        <v>10</v>
      </c>
      <c r="P101" t="s">
        <v>10</v>
      </c>
      <c r="Q101">
        <v>0</v>
      </c>
      <c r="R101">
        <v>0</v>
      </c>
      <c r="S101" cm="1">
        <f t="array" ref="S101">_xlfn.XLOOKUP(Mass_Data[[#This Row],[axle group 1]]&amp;Mass_Data[[#This Row],[Mass Scheme]],Axle_Data[Axle Code]&amp;Axle_Data[Mass Scheme],Axle_Data[MDL Maximum Mass (t)],"",0)</f>
        <v>6.5</v>
      </c>
      <c r="T101" cm="1">
        <f t="array" ref="T101">_xlfn.XLOOKUP(Mass_Data[[#This Row],[axle group 2]]&amp;Mass_Data[[#This Row],[Mass Scheme]],Axle_Data[Axle Code]&amp;Axle_Data[Mass Scheme],Axle_Data[MDL Maximum Mass (t)],"",0)</f>
        <v>17</v>
      </c>
      <c r="U101" cm="1">
        <f t="array" ref="U101">_xlfn.XLOOKUP(Mass_Data[[#This Row],[axle group 3]]&amp;Mass_Data[[#This Row],[Mass Scheme]],Axle_Data[Axle Code]&amp;Axle_Data[Mass Scheme],Axle_Data[MDL Maximum Mass (t)],"",0)</f>
        <v>21</v>
      </c>
      <c r="V101" cm="1">
        <f t="array" ref="V101">_xlfn.XLOOKUP(Mass_Data[[#This Row],[axle group 4]]&amp;Mass_Data[[#This Row],[Mass Scheme]],Axle_Data[Axle Code]&amp;Axle_Data[Mass Scheme],Axle_Data[MDL Maximum Mass (t)],"",0)</f>
        <v>21</v>
      </c>
      <c r="W101" cm="1">
        <f t="array" ref="W101">_xlfn.XLOOKUP(Mass_Data[[#This Row],[axle group 5]]&amp;Mass_Data[[#This Row],[Mass Scheme]],Axle_Data[Axle Code]&amp;Axle_Data[Mass Scheme],Axle_Data[MDL Maximum Mass (t)],"",0)</f>
        <v>21</v>
      </c>
      <c r="X101" t="str" cm="1">
        <f t="array" ref="X101">_xlfn.XLOOKUP(Mass_Data[[#This Row],[axle group 6]]&amp;Mass_Data[[#This Row],[Mass Scheme]],Axle_Data[Axle Code]&amp;Axle_Data[Mass Scheme],Axle_Data[MDL Maximum Mass (t)],"",0)</f>
        <v/>
      </c>
      <c r="Y101" t="str" cm="1">
        <f t="array" ref="Y101">_xlfn.XLOOKUP(Mass_Data[[#This Row],[axle group 7]]&amp;Mass_Data[[#This Row],[Mass Scheme]],Axle_Data[Axle Code]&amp;Axle_Data[Mass Scheme],Axle_Data[MDL Maximum Mass (t)],"",0)</f>
        <v/>
      </c>
      <c r="Z101" s="81">
        <f>SUM(Mass_Data[[#This Row],[MDL axle group 1 mass]:[MDL axle group 7 mass]])</f>
        <v>86.5</v>
      </c>
      <c r="AA101">
        <f>Mass_Data[[#This Row],[Total (1)]]-Mass_Data[[#This Row],[GCM (t)]]</f>
        <v>1.5</v>
      </c>
      <c r="AB101" t="str">
        <f>IF(Mass_Data[[#This Row],[Difference between MDL and GCM]]=0,"YES","NO")</f>
        <v>NO</v>
      </c>
      <c r="AC101" s="22">
        <f>IFERROR(IF(Mass_Data[[#This Row],[Check (1)]]="YES",Mass_Data[[#This Row],[MDL axle group 1 mass]],Mass_Data[[#This Row],[MDL axle group 1 mass]]-(Mass_Data[[#This Row],[Difference between MDL and GCM]]*(Mass_Data[[#This Row],[MDL axle group 1 mass]]/Mass_Data[[#This Row],[Total (1)]]))),"")</f>
        <v>6.3872832369942198</v>
      </c>
      <c r="AD101" s="22">
        <f>IFERROR(IF(Mass_Data[[#This Row],[Check (1)]]="YES",Mass_Data[[#This Row],[MDL axle group 2 mass]],Mass_Data[[#This Row],[MDL axle group 2 mass]]-(Mass_Data[[#This Row],[Difference between MDL and GCM]]*(Mass_Data[[#This Row],[MDL axle group 2 mass]]/Mass_Data[[#This Row],[Total (1)]]))),"")</f>
        <v>16.705202312138727</v>
      </c>
      <c r="AE101" s="22">
        <f>IFERROR(IF(Mass_Data[[#This Row],[Check (1)]]="YES",Mass_Data[[#This Row],[MDL axle group 3 mass]],Mass_Data[[#This Row],[MDL axle group 3 mass]]-(Mass_Data[[#This Row],[Difference between MDL and GCM]]*(Mass_Data[[#This Row],[MDL axle group 3 mass]]/Mass_Data[[#This Row],[Total (1)]]))),"")</f>
        <v>20.635838150289018</v>
      </c>
      <c r="AF101" s="22">
        <f>IFERROR(IF(Mass_Data[[#This Row],[Check (1)]]="YES",Mass_Data[[#This Row],[MDL axle group 4 mass]],Mass_Data[[#This Row],[MDL axle group 4 mass]]-(Mass_Data[[#This Row],[Difference between MDL and GCM]]*(Mass_Data[[#This Row],[MDL axle group 4 mass]]/Mass_Data[[#This Row],[Total (1)]]))),"")</f>
        <v>20.635838150289018</v>
      </c>
      <c r="AG101" s="22">
        <f>IFERROR(IF(Mass_Data[[#This Row],[Check (1)]]="YES",Mass_Data[[#This Row],[MDL axle group 5 mass]],Mass_Data[[#This Row],[MDL axle group 5 mass]]-(Mass_Data[[#This Row],[Difference between MDL and GCM]]*(Mass_Data[[#This Row],[MDL axle group 5 mass]]/Mass_Data[[#This Row],[Total (1)]]))),"")</f>
        <v>20.635838150289018</v>
      </c>
      <c r="AH101" s="22" t="str">
        <f>IFERROR(IF(Mass_Data[[#This Row],[Check (1)]]="YES",Mass_Data[[#This Row],[MDL axle group 6 mass]],Mass_Data[[#This Row],[MDL axle group 6 mass]]-(Mass_Data[[#This Row],[Difference between MDL and GCM]]*(Mass_Data[[#This Row],[MDL axle group 6 mass]]/Mass_Data[[#This Row],[Total (1)]]))),"")</f>
        <v/>
      </c>
      <c r="AI101" s="22" t="str">
        <f>IFERROR(IF(Mass_Data[[#This Row],[Check (1)]]="YES",Mass_Data[[#This Row],[MDL axle group 7 mass]],Mass_Data[[#This Row],[MDL axle group 7 mass]]-(Mass_Data[[#This Row],[Difference between MDL and GCM]]*(Mass_Data[[#This Row],[MDL axle group 7 mass]]/Mass_Data[[#This Row],[Total (1)]]))),"")</f>
        <v/>
      </c>
      <c r="AJ101" s="81">
        <f>SUM(Mass_Data[[#This Row],[Corrected axle group 1 mass]:[Corrected axle group 7 mass]])</f>
        <v>85</v>
      </c>
      <c r="AK101">
        <f>Mass_Data[[#This Row],[Total (2)]]-Mass_Data[[#This Row],[GCM (t)]]</f>
        <v>0</v>
      </c>
      <c r="AL101" s="22" t="str">
        <f>IF(Mass_Data[[#This Row],[Difference between MDL and corrected axle masses]]=0,"YES","NO")</f>
        <v>YES</v>
      </c>
    </row>
    <row r="102" spans="3:38" x14ac:dyDescent="0.35">
      <c r="C102" s="10" t="str">
        <f t="shared" si="1"/>
        <v>PBS - 3-axle prime mover A-double (3-3-3) (HML): 3</v>
      </c>
      <c r="D102" s="10" t="s">
        <v>175</v>
      </c>
      <c r="E102" s="10" t="s">
        <v>147</v>
      </c>
      <c r="F102" s="10" t="s">
        <v>7</v>
      </c>
      <c r="G102" s="10" t="s">
        <v>5</v>
      </c>
      <c r="H102" t="s">
        <v>68</v>
      </c>
      <c r="I102" s="9">
        <v>91</v>
      </c>
      <c r="J102" s="14">
        <v>61.066386588260059</v>
      </c>
      <c r="K102" s="14">
        <f>Mass_Data[[#This Row],[GCM (t)]]-Mass_Data[[#This Row],[Payload (t)]]</f>
        <v>29.933613411739941</v>
      </c>
      <c r="L102" t="s">
        <v>8</v>
      </c>
      <c r="M102" t="s">
        <v>9</v>
      </c>
      <c r="N102" t="s">
        <v>10</v>
      </c>
      <c r="O102" t="s">
        <v>10</v>
      </c>
      <c r="P102" t="s">
        <v>10</v>
      </c>
      <c r="Q102">
        <v>0</v>
      </c>
      <c r="R102">
        <v>0</v>
      </c>
      <c r="S102" cm="1">
        <f t="array" ref="S102">_xlfn.XLOOKUP(Mass_Data[[#This Row],[axle group 1]]&amp;Mass_Data[[#This Row],[Mass Scheme]],Axle_Data[Axle Code]&amp;Axle_Data[Mass Scheme],Axle_Data[MDL Maximum Mass (t)],"",0)</f>
        <v>6.5</v>
      </c>
      <c r="T102" cm="1">
        <f t="array" ref="T102">_xlfn.XLOOKUP(Mass_Data[[#This Row],[axle group 2]]&amp;Mass_Data[[#This Row],[Mass Scheme]],Axle_Data[Axle Code]&amp;Axle_Data[Mass Scheme],Axle_Data[MDL Maximum Mass (t)],"",0)</f>
        <v>17</v>
      </c>
      <c r="U102" cm="1">
        <f t="array" ref="U102">_xlfn.XLOOKUP(Mass_Data[[#This Row],[axle group 3]]&amp;Mass_Data[[#This Row],[Mass Scheme]],Axle_Data[Axle Code]&amp;Axle_Data[Mass Scheme],Axle_Data[MDL Maximum Mass (t)],"",0)</f>
        <v>22.5</v>
      </c>
      <c r="V102" cm="1">
        <f t="array" ref="V102">_xlfn.XLOOKUP(Mass_Data[[#This Row],[axle group 4]]&amp;Mass_Data[[#This Row],[Mass Scheme]],Axle_Data[Axle Code]&amp;Axle_Data[Mass Scheme],Axle_Data[MDL Maximum Mass (t)],"",0)</f>
        <v>22.5</v>
      </c>
      <c r="W102" cm="1">
        <f t="array" ref="W102">_xlfn.XLOOKUP(Mass_Data[[#This Row],[axle group 5]]&amp;Mass_Data[[#This Row],[Mass Scheme]],Axle_Data[Axle Code]&amp;Axle_Data[Mass Scheme],Axle_Data[MDL Maximum Mass (t)],"",0)</f>
        <v>22.5</v>
      </c>
      <c r="X102" t="str" cm="1">
        <f t="array" ref="X102">_xlfn.XLOOKUP(Mass_Data[[#This Row],[axle group 6]]&amp;Mass_Data[[#This Row],[Mass Scheme]],Axle_Data[Axle Code]&amp;Axle_Data[Mass Scheme],Axle_Data[MDL Maximum Mass (t)],"",0)</f>
        <v/>
      </c>
      <c r="Y102" t="str" cm="1">
        <f t="array" ref="Y102">_xlfn.XLOOKUP(Mass_Data[[#This Row],[axle group 7]]&amp;Mass_Data[[#This Row],[Mass Scheme]],Axle_Data[Axle Code]&amp;Axle_Data[Mass Scheme],Axle_Data[MDL Maximum Mass (t)],"",0)</f>
        <v/>
      </c>
      <c r="Z102" s="81">
        <f>SUM(Mass_Data[[#This Row],[MDL axle group 1 mass]:[MDL axle group 7 mass]])</f>
        <v>91</v>
      </c>
      <c r="AA102">
        <f>Mass_Data[[#This Row],[Total (1)]]-Mass_Data[[#This Row],[GCM (t)]]</f>
        <v>0</v>
      </c>
      <c r="AB102" t="str">
        <f>IF(Mass_Data[[#This Row],[Difference between MDL and GCM]]=0,"YES","NO")</f>
        <v>YES</v>
      </c>
      <c r="AC102" s="22">
        <f>IFERROR(IF(Mass_Data[[#This Row],[Check (1)]]="YES",Mass_Data[[#This Row],[MDL axle group 1 mass]],Mass_Data[[#This Row],[MDL axle group 1 mass]]-(Mass_Data[[#This Row],[Difference between MDL and GCM]]*(Mass_Data[[#This Row],[MDL axle group 1 mass]]/Mass_Data[[#This Row],[Total (1)]]))),"")</f>
        <v>6.5</v>
      </c>
      <c r="AD102" s="22">
        <f>IFERROR(IF(Mass_Data[[#This Row],[Check (1)]]="YES",Mass_Data[[#This Row],[MDL axle group 2 mass]],Mass_Data[[#This Row],[MDL axle group 2 mass]]-(Mass_Data[[#This Row],[Difference between MDL and GCM]]*(Mass_Data[[#This Row],[MDL axle group 2 mass]]/Mass_Data[[#This Row],[Total (1)]]))),"")</f>
        <v>17</v>
      </c>
      <c r="AE102" s="22">
        <f>IFERROR(IF(Mass_Data[[#This Row],[Check (1)]]="YES",Mass_Data[[#This Row],[MDL axle group 3 mass]],Mass_Data[[#This Row],[MDL axle group 3 mass]]-(Mass_Data[[#This Row],[Difference between MDL and GCM]]*(Mass_Data[[#This Row],[MDL axle group 3 mass]]/Mass_Data[[#This Row],[Total (1)]]))),"")</f>
        <v>22.5</v>
      </c>
      <c r="AF102" s="22">
        <f>IFERROR(IF(Mass_Data[[#This Row],[Check (1)]]="YES",Mass_Data[[#This Row],[MDL axle group 4 mass]],Mass_Data[[#This Row],[MDL axle group 4 mass]]-(Mass_Data[[#This Row],[Difference between MDL and GCM]]*(Mass_Data[[#This Row],[MDL axle group 4 mass]]/Mass_Data[[#This Row],[Total (1)]]))),"")</f>
        <v>22.5</v>
      </c>
      <c r="AG102" s="22">
        <f>IFERROR(IF(Mass_Data[[#This Row],[Check (1)]]="YES",Mass_Data[[#This Row],[MDL axle group 5 mass]],Mass_Data[[#This Row],[MDL axle group 5 mass]]-(Mass_Data[[#This Row],[Difference between MDL and GCM]]*(Mass_Data[[#This Row],[MDL axle group 5 mass]]/Mass_Data[[#This Row],[Total (1)]]))),"")</f>
        <v>22.5</v>
      </c>
      <c r="AH102" s="22" t="str">
        <f>IFERROR(IF(Mass_Data[[#This Row],[Check (1)]]="YES",Mass_Data[[#This Row],[MDL axle group 6 mass]],Mass_Data[[#This Row],[MDL axle group 6 mass]]-(Mass_Data[[#This Row],[Difference between MDL and GCM]]*(Mass_Data[[#This Row],[MDL axle group 6 mass]]/Mass_Data[[#This Row],[Total (1)]]))),"")</f>
        <v/>
      </c>
      <c r="AI102" s="22" t="str">
        <f>IFERROR(IF(Mass_Data[[#This Row],[Check (1)]]="YES",Mass_Data[[#This Row],[MDL axle group 7 mass]],Mass_Data[[#This Row],[MDL axle group 7 mass]]-(Mass_Data[[#This Row],[Difference between MDL and GCM]]*(Mass_Data[[#This Row],[MDL axle group 7 mass]]/Mass_Data[[#This Row],[Total (1)]]))),"")</f>
        <v/>
      </c>
      <c r="AJ102" s="81">
        <f>SUM(Mass_Data[[#This Row],[Corrected axle group 1 mass]:[Corrected axle group 7 mass]])</f>
        <v>91</v>
      </c>
      <c r="AK102">
        <f>Mass_Data[[#This Row],[Total (2)]]-Mass_Data[[#This Row],[GCM (t)]]</f>
        <v>0</v>
      </c>
      <c r="AL102" s="22" t="str">
        <f>IF(Mass_Data[[#This Row],[Difference between MDL and corrected axle masses]]=0,"YES","NO")</f>
        <v>YES</v>
      </c>
    </row>
    <row r="103" spans="3:38" x14ac:dyDescent="0.35">
      <c r="C103" s="10" t="str">
        <f t="shared" si="1"/>
        <v>PBS - A-triple (3-3-3-3-3) (GML): 4</v>
      </c>
      <c r="D103" s="10" t="s">
        <v>173</v>
      </c>
      <c r="E103" s="10" t="s">
        <v>147</v>
      </c>
      <c r="F103" s="10" t="s">
        <v>18</v>
      </c>
      <c r="G103" s="10" t="s">
        <v>6</v>
      </c>
      <c r="H103" t="s">
        <v>127</v>
      </c>
      <c r="I103" s="9">
        <v>126.5</v>
      </c>
      <c r="J103" s="14">
        <v>78.83117576432717</v>
      </c>
      <c r="K103" s="14">
        <f>Mass_Data[[#This Row],[GCM (t)]]-Mass_Data[[#This Row],[Payload (t)]]</f>
        <v>47.66882423567283</v>
      </c>
      <c r="L103" t="s">
        <v>8</v>
      </c>
      <c r="M103" t="s">
        <v>10</v>
      </c>
      <c r="N103" t="s">
        <v>10</v>
      </c>
      <c r="O103" t="s">
        <v>10</v>
      </c>
      <c r="P103" t="s">
        <v>10</v>
      </c>
      <c r="Q103" t="s">
        <v>10</v>
      </c>
      <c r="R103" t="s">
        <v>10</v>
      </c>
      <c r="S103" cm="1">
        <f t="array" ref="S103">_xlfn.XLOOKUP(Mass_Data[[#This Row],[axle group 1]]&amp;Mass_Data[[#This Row],[Mass Scheme]],Axle_Data[Axle Code]&amp;Axle_Data[Mass Scheme],Axle_Data[MDL Maximum Mass (t)],"",0)</f>
        <v>6.5</v>
      </c>
      <c r="T103" cm="1">
        <f t="array" ref="T103">_xlfn.XLOOKUP(Mass_Data[[#This Row],[axle group 2]]&amp;Mass_Data[[#This Row],[Mass Scheme]],Axle_Data[Axle Code]&amp;Axle_Data[Mass Scheme],Axle_Data[MDL Maximum Mass (t)],"",0)</f>
        <v>20</v>
      </c>
      <c r="U103" cm="1">
        <f t="array" ref="U103">_xlfn.XLOOKUP(Mass_Data[[#This Row],[axle group 3]]&amp;Mass_Data[[#This Row],[Mass Scheme]],Axle_Data[Axle Code]&amp;Axle_Data[Mass Scheme],Axle_Data[MDL Maximum Mass (t)],"",0)</f>
        <v>20</v>
      </c>
      <c r="V103" cm="1">
        <f t="array" ref="V103">_xlfn.XLOOKUP(Mass_Data[[#This Row],[axle group 4]]&amp;Mass_Data[[#This Row],[Mass Scheme]],Axle_Data[Axle Code]&amp;Axle_Data[Mass Scheme],Axle_Data[MDL Maximum Mass (t)],"",0)</f>
        <v>20</v>
      </c>
      <c r="W103" cm="1">
        <f t="array" ref="W103">_xlfn.XLOOKUP(Mass_Data[[#This Row],[axle group 5]]&amp;Mass_Data[[#This Row],[Mass Scheme]],Axle_Data[Axle Code]&amp;Axle_Data[Mass Scheme],Axle_Data[MDL Maximum Mass (t)],"",0)</f>
        <v>20</v>
      </c>
      <c r="X103" cm="1">
        <f t="array" ref="X103">_xlfn.XLOOKUP(Mass_Data[[#This Row],[axle group 6]]&amp;Mass_Data[[#This Row],[Mass Scheme]],Axle_Data[Axle Code]&amp;Axle_Data[Mass Scheme],Axle_Data[MDL Maximum Mass (t)],"",0)</f>
        <v>20</v>
      </c>
      <c r="Y103" cm="1">
        <f t="array" ref="Y103">_xlfn.XLOOKUP(Mass_Data[[#This Row],[axle group 7]]&amp;Mass_Data[[#This Row],[Mass Scheme]],Axle_Data[Axle Code]&amp;Axle_Data[Mass Scheme],Axle_Data[MDL Maximum Mass (t)],"",0)</f>
        <v>20</v>
      </c>
      <c r="Z103" s="81">
        <f>SUM(Mass_Data[[#This Row],[MDL axle group 1 mass]:[MDL axle group 7 mass]])</f>
        <v>126.5</v>
      </c>
      <c r="AA103">
        <f>Mass_Data[[#This Row],[Total (1)]]-Mass_Data[[#This Row],[GCM (t)]]</f>
        <v>0</v>
      </c>
      <c r="AB103" t="str">
        <f>IF(Mass_Data[[#This Row],[Difference between MDL and GCM]]=0,"YES","NO")</f>
        <v>YES</v>
      </c>
      <c r="AC103" s="22">
        <f>IFERROR(IF(Mass_Data[[#This Row],[Check (1)]]="YES",Mass_Data[[#This Row],[MDL axle group 1 mass]],Mass_Data[[#This Row],[MDL axle group 1 mass]]-(Mass_Data[[#This Row],[Difference between MDL and GCM]]*(Mass_Data[[#This Row],[MDL axle group 1 mass]]/Mass_Data[[#This Row],[Total (1)]]))),"")</f>
        <v>6.5</v>
      </c>
      <c r="AD103" s="22">
        <f>IFERROR(IF(Mass_Data[[#This Row],[Check (1)]]="YES",Mass_Data[[#This Row],[MDL axle group 2 mass]],Mass_Data[[#This Row],[MDL axle group 2 mass]]-(Mass_Data[[#This Row],[Difference between MDL and GCM]]*(Mass_Data[[#This Row],[MDL axle group 2 mass]]/Mass_Data[[#This Row],[Total (1)]]))),"")</f>
        <v>20</v>
      </c>
      <c r="AE103" s="22">
        <f>IFERROR(IF(Mass_Data[[#This Row],[Check (1)]]="YES",Mass_Data[[#This Row],[MDL axle group 3 mass]],Mass_Data[[#This Row],[MDL axle group 3 mass]]-(Mass_Data[[#This Row],[Difference between MDL and GCM]]*(Mass_Data[[#This Row],[MDL axle group 3 mass]]/Mass_Data[[#This Row],[Total (1)]]))),"")</f>
        <v>20</v>
      </c>
      <c r="AF103" s="22">
        <f>IFERROR(IF(Mass_Data[[#This Row],[Check (1)]]="YES",Mass_Data[[#This Row],[MDL axle group 4 mass]],Mass_Data[[#This Row],[MDL axle group 4 mass]]-(Mass_Data[[#This Row],[Difference between MDL and GCM]]*(Mass_Data[[#This Row],[MDL axle group 4 mass]]/Mass_Data[[#This Row],[Total (1)]]))),"")</f>
        <v>20</v>
      </c>
      <c r="AG103" s="22">
        <f>IFERROR(IF(Mass_Data[[#This Row],[Check (1)]]="YES",Mass_Data[[#This Row],[MDL axle group 5 mass]],Mass_Data[[#This Row],[MDL axle group 5 mass]]-(Mass_Data[[#This Row],[Difference between MDL and GCM]]*(Mass_Data[[#This Row],[MDL axle group 5 mass]]/Mass_Data[[#This Row],[Total (1)]]))),"")</f>
        <v>20</v>
      </c>
      <c r="AH103" s="22">
        <f>IFERROR(IF(Mass_Data[[#This Row],[Check (1)]]="YES",Mass_Data[[#This Row],[MDL axle group 6 mass]],Mass_Data[[#This Row],[MDL axle group 6 mass]]-(Mass_Data[[#This Row],[Difference between MDL and GCM]]*(Mass_Data[[#This Row],[MDL axle group 6 mass]]/Mass_Data[[#This Row],[Total (1)]]))),"")</f>
        <v>20</v>
      </c>
      <c r="AI103" s="22">
        <f>IFERROR(IF(Mass_Data[[#This Row],[Check (1)]]="YES",Mass_Data[[#This Row],[MDL axle group 7 mass]],Mass_Data[[#This Row],[MDL axle group 7 mass]]-(Mass_Data[[#This Row],[Difference between MDL and GCM]]*(Mass_Data[[#This Row],[MDL axle group 7 mass]]/Mass_Data[[#This Row],[Total (1)]]))),"")</f>
        <v>20</v>
      </c>
      <c r="AJ103" s="81">
        <f>SUM(Mass_Data[[#This Row],[Corrected axle group 1 mass]:[Corrected axle group 7 mass]])</f>
        <v>126.5</v>
      </c>
      <c r="AK103">
        <f>Mass_Data[[#This Row],[Total (2)]]-Mass_Data[[#This Row],[GCM (t)]]</f>
        <v>0</v>
      </c>
      <c r="AL103" s="22" t="str">
        <f>IF(Mass_Data[[#This Row],[Difference between MDL and corrected axle masses]]=0,"YES","NO")</f>
        <v>YES</v>
      </c>
    </row>
    <row r="104" spans="3:38" x14ac:dyDescent="0.35">
      <c r="C104" s="10" t="str">
        <f t="shared" si="1"/>
        <v>PBS - A-triple (3-3-3-3-3) (CML): 4</v>
      </c>
      <c r="D104" s="10" t="s">
        <v>173</v>
      </c>
      <c r="E104" s="10" t="s">
        <v>147</v>
      </c>
      <c r="F104" s="10" t="s">
        <v>20</v>
      </c>
      <c r="G104" s="10" t="s">
        <v>6</v>
      </c>
      <c r="H104" t="s">
        <v>127</v>
      </c>
      <c r="I104" s="9">
        <v>128.5</v>
      </c>
      <c r="J104" s="14">
        <v>80.83117576432717</v>
      </c>
      <c r="K104" s="14">
        <f>Mass_Data[[#This Row],[GCM (t)]]-Mass_Data[[#This Row],[Payload (t)]]</f>
        <v>47.66882423567283</v>
      </c>
      <c r="L104" t="s">
        <v>8</v>
      </c>
      <c r="M104" t="s">
        <v>10</v>
      </c>
      <c r="N104" t="s">
        <v>10</v>
      </c>
      <c r="O104" t="s">
        <v>10</v>
      </c>
      <c r="P104" t="s">
        <v>10</v>
      </c>
      <c r="Q104" t="s">
        <v>10</v>
      </c>
      <c r="R104" t="s">
        <v>10</v>
      </c>
      <c r="S104" cm="1">
        <f t="array" ref="S104">_xlfn.XLOOKUP(Mass_Data[[#This Row],[axle group 1]]&amp;Mass_Data[[#This Row],[Mass Scheme]],Axle_Data[Axle Code]&amp;Axle_Data[Mass Scheme],Axle_Data[MDL Maximum Mass (t)],"",0)</f>
        <v>6.5</v>
      </c>
      <c r="T104" cm="1">
        <f t="array" ref="T104">_xlfn.XLOOKUP(Mass_Data[[#This Row],[axle group 2]]&amp;Mass_Data[[#This Row],[Mass Scheme]],Axle_Data[Axle Code]&amp;Axle_Data[Mass Scheme],Axle_Data[MDL Maximum Mass (t)],"",0)</f>
        <v>21</v>
      </c>
      <c r="U104" cm="1">
        <f t="array" ref="U104">_xlfn.XLOOKUP(Mass_Data[[#This Row],[axle group 3]]&amp;Mass_Data[[#This Row],[Mass Scheme]],Axle_Data[Axle Code]&amp;Axle_Data[Mass Scheme],Axle_Data[MDL Maximum Mass (t)],"",0)</f>
        <v>21</v>
      </c>
      <c r="V104" cm="1">
        <f t="array" ref="V104">_xlfn.XLOOKUP(Mass_Data[[#This Row],[axle group 4]]&amp;Mass_Data[[#This Row],[Mass Scheme]],Axle_Data[Axle Code]&amp;Axle_Data[Mass Scheme],Axle_Data[MDL Maximum Mass (t)],"",0)</f>
        <v>21</v>
      </c>
      <c r="W104" cm="1">
        <f t="array" ref="W104">_xlfn.XLOOKUP(Mass_Data[[#This Row],[axle group 5]]&amp;Mass_Data[[#This Row],[Mass Scheme]],Axle_Data[Axle Code]&amp;Axle_Data[Mass Scheme],Axle_Data[MDL Maximum Mass (t)],"",0)</f>
        <v>21</v>
      </c>
      <c r="X104" cm="1">
        <f t="array" ref="X104">_xlfn.XLOOKUP(Mass_Data[[#This Row],[axle group 6]]&amp;Mass_Data[[#This Row],[Mass Scheme]],Axle_Data[Axle Code]&amp;Axle_Data[Mass Scheme],Axle_Data[MDL Maximum Mass (t)],"",0)</f>
        <v>21</v>
      </c>
      <c r="Y104" cm="1">
        <f t="array" ref="Y104">_xlfn.XLOOKUP(Mass_Data[[#This Row],[axle group 7]]&amp;Mass_Data[[#This Row],[Mass Scheme]],Axle_Data[Axle Code]&amp;Axle_Data[Mass Scheme],Axle_Data[MDL Maximum Mass (t)],"",0)</f>
        <v>21</v>
      </c>
      <c r="Z104" s="81">
        <f>SUM(Mass_Data[[#This Row],[MDL axle group 1 mass]:[MDL axle group 7 mass]])</f>
        <v>132.5</v>
      </c>
      <c r="AA104">
        <f>Mass_Data[[#This Row],[Total (1)]]-Mass_Data[[#This Row],[GCM (t)]]</f>
        <v>4</v>
      </c>
      <c r="AB104" t="str">
        <f>IF(Mass_Data[[#This Row],[Difference between MDL and GCM]]=0,"YES","NO")</f>
        <v>NO</v>
      </c>
      <c r="AC104" s="22">
        <f>IFERROR(IF(Mass_Data[[#This Row],[Check (1)]]="YES",Mass_Data[[#This Row],[MDL axle group 1 mass]],Mass_Data[[#This Row],[MDL axle group 1 mass]]-(Mass_Data[[#This Row],[Difference between MDL and GCM]]*(Mass_Data[[#This Row],[MDL axle group 1 mass]]/Mass_Data[[#This Row],[Total (1)]]))),"")</f>
        <v>6.3037735849056604</v>
      </c>
      <c r="AD104" s="22">
        <f>IFERROR(IF(Mass_Data[[#This Row],[Check (1)]]="YES",Mass_Data[[#This Row],[MDL axle group 2 mass]],Mass_Data[[#This Row],[MDL axle group 2 mass]]-(Mass_Data[[#This Row],[Difference between MDL and GCM]]*(Mass_Data[[#This Row],[MDL axle group 2 mass]]/Mass_Data[[#This Row],[Total (1)]]))),"")</f>
        <v>20.366037735849055</v>
      </c>
      <c r="AE104" s="22">
        <f>IFERROR(IF(Mass_Data[[#This Row],[Check (1)]]="YES",Mass_Data[[#This Row],[MDL axle group 3 mass]],Mass_Data[[#This Row],[MDL axle group 3 mass]]-(Mass_Data[[#This Row],[Difference between MDL and GCM]]*(Mass_Data[[#This Row],[MDL axle group 3 mass]]/Mass_Data[[#This Row],[Total (1)]]))),"")</f>
        <v>20.366037735849055</v>
      </c>
      <c r="AF104" s="22">
        <f>IFERROR(IF(Mass_Data[[#This Row],[Check (1)]]="YES",Mass_Data[[#This Row],[MDL axle group 4 mass]],Mass_Data[[#This Row],[MDL axle group 4 mass]]-(Mass_Data[[#This Row],[Difference between MDL and GCM]]*(Mass_Data[[#This Row],[MDL axle group 4 mass]]/Mass_Data[[#This Row],[Total (1)]]))),"")</f>
        <v>20.366037735849055</v>
      </c>
      <c r="AG104" s="22">
        <f>IFERROR(IF(Mass_Data[[#This Row],[Check (1)]]="YES",Mass_Data[[#This Row],[MDL axle group 5 mass]],Mass_Data[[#This Row],[MDL axle group 5 mass]]-(Mass_Data[[#This Row],[Difference between MDL and GCM]]*(Mass_Data[[#This Row],[MDL axle group 5 mass]]/Mass_Data[[#This Row],[Total (1)]]))),"")</f>
        <v>20.366037735849055</v>
      </c>
      <c r="AH104" s="22">
        <f>IFERROR(IF(Mass_Data[[#This Row],[Check (1)]]="YES",Mass_Data[[#This Row],[MDL axle group 6 mass]],Mass_Data[[#This Row],[MDL axle group 6 mass]]-(Mass_Data[[#This Row],[Difference between MDL and GCM]]*(Mass_Data[[#This Row],[MDL axle group 6 mass]]/Mass_Data[[#This Row],[Total (1)]]))),"")</f>
        <v>20.366037735849055</v>
      </c>
      <c r="AI104" s="22">
        <f>IFERROR(IF(Mass_Data[[#This Row],[Check (1)]]="YES",Mass_Data[[#This Row],[MDL axle group 7 mass]],Mass_Data[[#This Row],[MDL axle group 7 mass]]-(Mass_Data[[#This Row],[Difference between MDL and GCM]]*(Mass_Data[[#This Row],[MDL axle group 7 mass]]/Mass_Data[[#This Row],[Total (1)]]))),"")</f>
        <v>20.366037735849055</v>
      </c>
      <c r="AJ104" s="81">
        <f>SUM(Mass_Data[[#This Row],[Corrected axle group 1 mass]:[Corrected axle group 7 mass]])</f>
        <v>128.5</v>
      </c>
      <c r="AK104">
        <f>Mass_Data[[#This Row],[Total (2)]]-Mass_Data[[#This Row],[GCM (t)]]</f>
        <v>0</v>
      </c>
      <c r="AL104" s="22" t="str">
        <f>IF(Mass_Data[[#This Row],[Difference between MDL and corrected axle masses]]=0,"YES","NO")</f>
        <v>YES</v>
      </c>
    </row>
    <row r="105" spans="3:38" x14ac:dyDescent="0.35">
      <c r="C105" s="10" t="str">
        <f t="shared" si="1"/>
        <v>PBS - A-triple (3-3-3-3-3) (HML): 4</v>
      </c>
      <c r="D105" s="10" t="s">
        <v>173</v>
      </c>
      <c r="E105" s="10" t="s">
        <v>147</v>
      </c>
      <c r="F105" s="10" t="s">
        <v>7</v>
      </c>
      <c r="G105" s="10" t="s">
        <v>6</v>
      </c>
      <c r="H105" t="s">
        <v>127</v>
      </c>
      <c r="I105" s="9">
        <v>141.5</v>
      </c>
      <c r="J105" s="14">
        <v>93.83117576432717</v>
      </c>
      <c r="K105" s="14">
        <f>Mass_Data[[#This Row],[GCM (t)]]-Mass_Data[[#This Row],[Payload (t)]]</f>
        <v>47.66882423567283</v>
      </c>
      <c r="L105" t="s">
        <v>8</v>
      </c>
      <c r="M105" t="s">
        <v>10</v>
      </c>
      <c r="N105" t="s">
        <v>10</v>
      </c>
      <c r="O105" t="s">
        <v>10</v>
      </c>
      <c r="P105" t="s">
        <v>10</v>
      </c>
      <c r="Q105" t="s">
        <v>10</v>
      </c>
      <c r="R105" t="s">
        <v>10</v>
      </c>
      <c r="S105" cm="1">
        <f t="array" ref="S105">_xlfn.XLOOKUP(Mass_Data[[#This Row],[axle group 1]]&amp;Mass_Data[[#This Row],[Mass Scheme]],Axle_Data[Axle Code]&amp;Axle_Data[Mass Scheme],Axle_Data[MDL Maximum Mass (t)],"",0)</f>
        <v>6.5</v>
      </c>
      <c r="T105" cm="1">
        <f t="array" ref="T105">_xlfn.XLOOKUP(Mass_Data[[#This Row],[axle group 2]]&amp;Mass_Data[[#This Row],[Mass Scheme]],Axle_Data[Axle Code]&amp;Axle_Data[Mass Scheme],Axle_Data[MDL Maximum Mass (t)],"",0)</f>
        <v>22.5</v>
      </c>
      <c r="U105" cm="1">
        <f t="array" ref="U105">_xlfn.XLOOKUP(Mass_Data[[#This Row],[axle group 3]]&amp;Mass_Data[[#This Row],[Mass Scheme]],Axle_Data[Axle Code]&amp;Axle_Data[Mass Scheme],Axle_Data[MDL Maximum Mass (t)],"",0)</f>
        <v>22.5</v>
      </c>
      <c r="V105" cm="1">
        <f t="array" ref="V105">_xlfn.XLOOKUP(Mass_Data[[#This Row],[axle group 4]]&amp;Mass_Data[[#This Row],[Mass Scheme]],Axle_Data[Axle Code]&amp;Axle_Data[Mass Scheme],Axle_Data[MDL Maximum Mass (t)],"",0)</f>
        <v>22.5</v>
      </c>
      <c r="W105" cm="1">
        <f t="array" ref="W105">_xlfn.XLOOKUP(Mass_Data[[#This Row],[axle group 5]]&amp;Mass_Data[[#This Row],[Mass Scheme]],Axle_Data[Axle Code]&amp;Axle_Data[Mass Scheme],Axle_Data[MDL Maximum Mass (t)],"",0)</f>
        <v>22.5</v>
      </c>
      <c r="X105" cm="1">
        <f t="array" ref="X105">_xlfn.XLOOKUP(Mass_Data[[#This Row],[axle group 6]]&amp;Mass_Data[[#This Row],[Mass Scheme]],Axle_Data[Axle Code]&amp;Axle_Data[Mass Scheme],Axle_Data[MDL Maximum Mass (t)],"",0)</f>
        <v>22.5</v>
      </c>
      <c r="Y105" cm="1">
        <f t="array" ref="Y105">_xlfn.XLOOKUP(Mass_Data[[#This Row],[axle group 7]]&amp;Mass_Data[[#This Row],[Mass Scheme]],Axle_Data[Axle Code]&amp;Axle_Data[Mass Scheme],Axle_Data[MDL Maximum Mass (t)],"",0)</f>
        <v>22.5</v>
      </c>
      <c r="Z105" s="81">
        <f>SUM(Mass_Data[[#This Row],[MDL axle group 1 mass]:[MDL axle group 7 mass]])</f>
        <v>141.5</v>
      </c>
      <c r="AA105">
        <f>Mass_Data[[#This Row],[Total (1)]]-Mass_Data[[#This Row],[GCM (t)]]</f>
        <v>0</v>
      </c>
      <c r="AB105" t="str">
        <f>IF(Mass_Data[[#This Row],[Difference between MDL and GCM]]=0,"YES","NO")</f>
        <v>YES</v>
      </c>
      <c r="AC105" s="22">
        <f>IFERROR(IF(Mass_Data[[#This Row],[Check (1)]]="YES",Mass_Data[[#This Row],[MDL axle group 1 mass]],Mass_Data[[#This Row],[MDL axle group 1 mass]]-(Mass_Data[[#This Row],[Difference between MDL and GCM]]*(Mass_Data[[#This Row],[MDL axle group 1 mass]]/Mass_Data[[#This Row],[Total (1)]]))),"")</f>
        <v>6.5</v>
      </c>
      <c r="AD105" s="22">
        <f>IFERROR(IF(Mass_Data[[#This Row],[Check (1)]]="YES",Mass_Data[[#This Row],[MDL axle group 2 mass]],Mass_Data[[#This Row],[MDL axle group 2 mass]]-(Mass_Data[[#This Row],[Difference between MDL and GCM]]*(Mass_Data[[#This Row],[MDL axle group 2 mass]]/Mass_Data[[#This Row],[Total (1)]]))),"")</f>
        <v>22.5</v>
      </c>
      <c r="AE105" s="22">
        <f>IFERROR(IF(Mass_Data[[#This Row],[Check (1)]]="YES",Mass_Data[[#This Row],[MDL axle group 3 mass]],Mass_Data[[#This Row],[MDL axle group 3 mass]]-(Mass_Data[[#This Row],[Difference between MDL and GCM]]*(Mass_Data[[#This Row],[MDL axle group 3 mass]]/Mass_Data[[#This Row],[Total (1)]]))),"")</f>
        <v>22.5</v>
      </c>
      <c r="AF105" s="22">
        <f>IFERROR(IF(Mass_Data[[#This Row],[Check (1)]]="YES",Mass_Data[[#This Row],[MDL axle group 4 mass]],Mass_Data[[#This Row],[MDL axle group 4 mass]]-(Mass_Data[[#This Row],[Difference between MDL and GCM]]*(Mass_Data[[#This Row],[MDL axle group 4 mass]]/Mass_Data[[#This Row],[Total (1)]]))),"")</f>
        <v>22.5</v>
      </c>
      <c r="AG105" s="22">
        <f>IFERROR(IF(Mass_Data[[#This Row],[Check (1)]]="YES",Mass_Data[[#This Row],[MDL axle group 5 mass]],Mass_Data[[#This Row],[MDL axle group 5 mass]]-(Mass_Data[[#This Row],[Difference between MDL and GCM]]*(Mass_Data[[#This Row],[MDL axle group 5 mass]]/Mass_Data[[#This Row],[Total (1)]]))),"")</f>
        <v>22.5</v>
      </c>
      <c r="AH105" s="22">
        <f>IFERROR(IF(Mass_Data[[#This Row],[Check (1)]]="YES",Mass_Data[[#This Row],[MDL axle group 6 mass]],Mass_Data[[#This Row],[MDL axle group 6 mass]]-(Mass_Data[[#This Row],[Difference between MDL and GCM]]*(Mass_Data[[#This Row],[MDL axle group 6 mass]]/Mass_Data[[#This Row],[Total (1)]]))),"")</f>
        <v>22.5</v>
      </c>
      <c r="AI105" s="22">
        <f>IFERROR(IF(Mass_Data[[#This Row],[Check (1)]]="YES",Mass_Data[[#This Row],[MDL axle group 7 mass]],Mass_Data[[#This Row],[MDL axle group 7 mass]]-(Mass_Data[[#This Row],[Difference between MDL and GCM]]*(Mass_Data[[#This Row],[MDL axle group 7 mass]]/Mass_Data[[#This Row],[Total (1)]]))),"")</f>
        <v>22.5</v>
      </c>
      <c r="AJ105" s="81">
        <f>SUM(Mass_Data[[#This Row],[Corrected axle group 1 mass]:[Corrected axle group 7 mass]])</f>
        <v>141.5</v>
      </c>
      <c r="AK105">
        <f>Mass_Data[[#This Row],[Total (2)]]-Mass_Data[[#This Row],[GCM (t)]]</f>
        <v>0</v>
      </c>
      <c r="AL105" s="22" t="str">
        <f>IF(Mass_Data[[#This Row],[Difference between MDL and corrected axle masses]]=0,"YES","NO")</f>
        <v>YES</v>
      </c>
    </row>
    <row r="106" spans="3:38" x14ac:dyDescent="0.35">
      <c r="C106" s="10" t="str">
        <f t="shared" si="1"/>
        <v>PBS - B-triple (3-3-3) (GML): 3</v>
      </c>
      <c r="D106" s="10" t="s">
        <v>171</v>
      </c>
      <c r="E106" s="10" t="s">
        <v>147</v>
      </c>
      <c r="F106" s="10" t="s">
        <v>18</v>
      </c>
      <c r="G106" s="10" t="s">
        <v>5</v>
      </c>
      <c r="H106" t="s">
        <v>69</v>
      </c>
      <c r="I106" s="9">
        <v>83</v>
      </c>
      <c r="J106" s="14">
        <v>50.314157097012163</v>
      </c>
      <c r="K106" s="14">
        <f>Mass_Data[[#This Row],[GCM (t)]]-Mass_Data[[#This Row],[Payload (t)]]</f>
        <v>32.685842902987837</v>
      </c>
      <c r="L106" t="s">
        <v>8</v>
      </c>
      <c r="M106" t="s">
        <v>9</v>
      </c>
      <c r="N106" t="s">
        <v>10</v>
      </c>
      <c r="O106" t="s">
        <v>10</v>
      </c>
      <c r="P106" t="s">
        <v>10</v>
      </c>
      <c r="Q106">
        <v>0</v>
      </c>
      <c r="R106">
        <v>0</v>
      </c>
      <c r="S106" cm="1">
        <f t="array" ref="S106">_xlfn.XLOOKUP(Mass_Data[[#This Row],[axle group 1]]&amp;Mass_Data[[#This Row],[Mass Scheme]],Axle_Data[Axle Code]&amp;Axle_Data[Mass Scheme],Axle_Data[MDL Maximum Mass (t)],"",0)</f>
        <v>6.5</v>
      </c>
      <c r="T106" cm="1">
        <f t="array" ref="T106">_xlfn.XLOOKUP(Mass_Data[[#This Row],[axle group 2]]&amp;Mass_Data[[#This Row],[Mass Scheme]],Axle_Data[Axle Code]&amp;Axle_Data[Mass Scheme],Axle_Data[MDL Maximum Mass (t)],"",0)</f>
        <v>16.5</v>
      </c>
      <c r="U106" cm="1">
        <f t="array" ref="U106">_xlfn.XLOOKUP(Mass_Data[[#This Row],[axle group 3]]&amp;Mass_Data[[#This Row],[Mass Scheme]],Axle_Data[Axle Code]&amp;Axle_Data[Mass Scheme],Axle_Data[MDL Maximum Mass (t)],"",0)</f>
        <v>20</v>
      </c>
      <c r="V106" cm="1">
        <f t="array" ref="V106">_xlfn.XLOOKUP(Mass_Data[[#This Row],[axle group 4]]&amp;Mass_Data[[#This Row],[Mass Scheme]],Axle_Data[Axle Code]&amp;Axle_Data[Mass Scheme],Axle_Data[MDL Maximum Mass (t)],"",0)</f>
        <v>20</v>
      </c>
      <c r="W106" cm="1">
        <f t="array" ref="W106">_xlfn.XLOOKUP(Mass_Data[[#This Row],[axle group 5]]&amp;Mass_Data[[#This Row],[Mass Scheme]],Axle_Data[Axle Code]&amp;Axle_Data[Mass Scheme],Axle_Data[MDL Maximum Mass (t)],"",0)</f>
        <v>20</v>
      </c>
      <c r="X106" t="str" cm="1">
        <f t="array" ref="X106">_xlfn.XLOOKUP(Mass_Data[[#This Row],[axle group 6]]&amp;Mass_Data[[#This Row],[Mass Scheme]],Axle_Data[Axle Code]&amp;Axle_Data[Mass Scheme],Axle_Data[MDL Maximum Mass (t)],"",0)</f>
        <v/>
      </c>
      <c r="Y106" t="str" cm="1">
        <f t="array" ref="Y106">_xlfn.XLOOKUP(Mass_Data[[#This Row],[axle group 7]]&amp;Mass_Data[[#This Row],[Mass Scheme]],Axle_Data[Axle Code]&amp;Axle_Data[Mass Scheme],Axle_Data[MDL Maximum Mass (t)],"",0)</f>
        <v/>
      </c>
      <c r="Z106" s="81">
        <f>SUM(Mass_Data[[#This Row],[MDL axle group 1 mass]:[MDL axle group 7 mass]])</f>
        <v>83</v>
      </c>
      <c r="AA106">
        <f>Mass_Data[[#This Row],[Total (1)]]-Mass_Data[[#This Row],[GCM (t)]]</f>
        <v>0</v>
      </c>
      <c r="AB106" t="str">
        <f>IF(Mass_Data[[#This Row],[Difference between MDL and GCM]]=0,"YES","NO")</f>
        <v>YES</v>
      </c>
      <c r="AC106" s="22">
        <f>IFERROR(IF(Mass_Data[[#This Row],[Check (1)]]="YES",Mass_Data[[#This Row],[MDL axle group 1 mass]],Mass_Data[[#This Row],[MDL axle group 1 mass]]-(Mass_Data[[#This Row],[Difference between MDL and GCM]]*(Mass_Data[[#This Row],[MDL axle group 1 mass]]/Mass_Data[[#This Row],[Total (1)]]))),"")</f>
        <v>6.5</v>
      </c>
      <c r="AD106" s="22">
        <f>IFERROR(IF(Mass_Data[[#This Row],[Check (1)]]="YES",Mass_Data[[#This Row],[MDL axle group 2 mass]],Mass_Data[[#This Row],[MDL axle group 2 mass]]-(Mass_Data[[#This Row],[Difference between MDL and GCM]]*(Mass_Data[[#This Row],[MDL axle group 2 mass]]/Mass_Data[[#This Row],[Total (1)]]))),"")</f>
        <v>16.5</v>
      </c>
      <c r="AE106" s="22">
        <f>IFERROR(IF(Mass_Data[[#This Row],[Check (1)]]="YES",Mass_Data[[#This Row],[MDL axle group 3 mass]],Mass_Data[[#This Row],[MDL axle group 3 mass]]-(Mass_Data[[#This Row],[Difference between MDL and GCM]]*(Mass_Data[[#This Row],[MDL axle group 3 mass]]/Mass_Data[[#This Row],[Total (1)]]))),"")</f>
        <v>20</v>
      </c>
      <c r="AF106" s="22">
        <f>IFERROR(IF(Mass_Data[[#This Row],[Check (1)]]="YES",Mass_Data[[#This Row],[MDL axle group 4 mass]],Mass_Data[[#This Row],[MDL axle group 4 mass]]-(Mass_Data[[#This Row],[Difference between MDL and GCM]]*(Mass_Data[[#This Row],[MDL axle group 4 mass]]/Mass_Data[[#This Row],[Total (1)]]))),"")</f>
        <v>20</v>
      </c>
      <c r="AG106" s="22">
        <f>IFERROR(IF(Mass_Data[[#This Row],[Check (1)]]="YES",Mass_Data[[#This Row],[MDL axle group 5 mass]],Mass_Data[[#This Row],[MDL axle group 5 mass]]-(Mass_Data[[#This Row],[Difference between MDL and GCM]]*(Mass_Data[[#This Row],[MDL axle group 5 mass]]/Mass_Data[[#This Row],[Total (1)]]))),"")</f>
        <v>20</v>
      </c>
      <c r="AH106" s="22" t="str">
        <f>IFERROR(IF(Mass_Data[[#This Row],[Check (1)]]="YES",Mass_Data[[#This Row],[MDL axle group 6 mass]],Mass_Data[[#This Row],[MDL axle group 6 mass]]-(Mass_Data[[#This Row],[Difference between MDL and GCM]]*(Mass_Data[[#This Row],[MDL axle group 6 mass]]/Mass_Data[[#This Row],[Total (1)]]))),"")</f>
        <v/>
      </c>
      <c r="AI106" s="22" t="str">
        <f>IFERROR(IF(Mass_Data[[#This Row],[Check (1)]]="YES",Mass_Data[[#This Row],[MDL axle group 7 mass]],Mass_Data[[#This Row],[MDL axle group 7 mass]]-(Mass_Data[[#This Row],[Difference between MDL and GCM]]*(Mass_Data[[#This Row],[MDL axle group 7 mass]]/Mass_Data[[#This Row],[Total (1)]]))),"")</f>
        <v/>
      </c>
      <c r="AJ106" s="81">
        <f>SUM(Mass_Data[[#This Row],[Corrected axle group 1 mass]:[Corrected axle group 7 mass]])</f>
        <v>83</v>
      </c>
      <c r="AK106">
        <f>Mass_Data[[#This Row],[Total (2)]]-Mass_Data[[#This Row],[GCM (t)]]</f>
        <v>0</v>
      </c>
      <c r="AL106" s="22" t="str">
        <f>IF(Mass_Data[[#This Row],[Difference between MDL and corrected axle masses]]=0,"YES","NO")</f>
        <v>YES</v>
      </c>
    </row>
    <row r="107" spans="3:38" x14ac:dyDescent="0.35">
      <c r="C107" s="10" t="str">
        <f t="shared" si="1"/>
        <v>PBS - B-triple (3-3-3) (CML): 3</v>
      </c>
      <c r="D107" s="10" t="s">
        <v>171</v>
      </c>
      <c r="E107" s="10" t="s">
        <v>147</v>
      </c>
      <c r="F107" s="10" t="s">
        <v>20</v>
      </c>
      <c r="G107" s="10" t="s">
        <v>5</v>
      </c>
      <c r="H107" t="s">
        <v>69</v>
      </c>
      <c r="I107" s="9">
        <v>85</v>
      </c>
      <c r="J107" s="14">
        <v>52.314157097012163</v>
      </c>
      <c r="K107" s="14">
        <f>Mass_Data[[#This Row],[GCM (t)]]-Mass_Data[[#This Row],[Payload (t)]]</f>
        <v>32.685842902987837</v>
      </c>
      <c r="L107" t="s">
        <v>8</v>
      </c>
      <c r="M107" t="s">
        <v>9</v>
      </c>
      <c r="N107" t="s">
        <v>10</v>
      </c>
      <c r="O107" t="s">
        <v>10</v>
      </c>
      <c r="P107" t="s">
        <v>10</v>
      </c>
      <c r="Q107">
        <v>0</v>
      </c>
      <c r="R107">
        <v>0</v>
      </c>
      <c r="S107" cm="1">
        <f t="array" ref="S107">_xlfn.XLOOKUP(Mass_Data[[#This Row],[axle group 1]]&amp;Mass_Data[[#This Row],[Mass Scheme]],Axle_Data[Axle Code]&amp;Axle_Data[Mass Scheme],Axle_Data[MDL Maximum Mass (t)],"",0)</f>
        <v>6.5</v>
      </c>
      <c r="T107" cm="1">
        <f t="array" ref="T107">_xlfn.XLOOKUP(Mass_Data[[#This Row],[axle group 2]]&amp;Mass_Data[[#This Row],[Mass Scheme]],Axle_Data[Axle Code]&amp;Axle_Data[Mass Scheme],Axle_Data[MDL Maximum Mass (t)],"",0)</f>
        <v>17</v>
      </c>
      <c r="U107" cm="1">
        <f t="array" ref="U107">_xlfn.XLOOKUP(Mass_Data[[#This Row],[axle group 3]]&amp;Mass_Data[[#This Row],[Mass Scheme]],Axle_Data[Axle Code]&amp;Axle_Data[Mass Scheme],Axle_Data[MDL Maximum Mass (t)],"",0)</f>
        <v>21</v>
      </c>
      <c r="V107" cm="1">
        <f t="array" ref="V107">_xlfn.XLOOKUP(Mass_Data[[#This Row],[axle group 4]]&amp;Mass_Data[[#This Row],[Mass Scheme]],Axle_Data[Axle Code]&amp;Axle_Data[Mass Scheme],Axle_Data[MDL Maximum Mass (t)],"",0)</f>
        <v>21</v>
      </c>
      <c r="W107" cm="1">
        <f t="array" ref="W107">_xlfn.XLOOKUP(Mass_Data[[#This Row],[axle group 5]]&amp;Mass_Data[[#This Row],[Mass Scheme]],Axle_Data[Axle Code]&amp;Axle_Data[Mass Scheme],Axle_Data[MDL Maximum Mass (t)],"",0)</f>
        <v>21</v>
      </c>
      <c r="X107" t="str" cm="1">
        <f t="array" ref="X107">_xlfn.XLOOKUP(Mass_Data[[#This Row],[axle group 6]]&amp;Mass_Data[[#This Row],[Mass Scheme]],Axle_Data[Axle Code]&amp;Axle_Data[Mass Scheme],Axle_Data[MDL Maximum Mass (t)],"",0)</f>
        <v/>
      </c>
      <c r="Y107" t="str" cm="1">
        <f t="array" ref="Y107">_xlfn.XLOOKUP(Mass_Data[[#This Row],[axle group 7]]&amp;Mass_Data[[#This Row],[Mass Scheme]],Axle_Data[Axle Code]&amp;Axle_Data[Mass Scheme],Axle_Data[MDL Maximum Mass (t)],"",0)</f>
        <v/>
      </c>
      <c r="Z107" s="81">
        <f>SUM(Mass_Data[[#This Row],[MDL axle group 1 mass]:[MDL axle group 7 mass]])</f>
        <v>86.5</v>
      </c>
      <c r="AA107">
        <f>Mass_Data[[#This Row],[Total (1)]]-Mass_Data[[#This Row],[GCM (t)]]</f>
        <v>1.5</v>
      </c>
      <c r="AB107" t="str">
        <f>IF(Mass_Data[[#This Row],[Difference between MDL and GCM]]=0,"YES","NO")</f>
        <v>NO</v>
      </c>
      <c r="AC107" s="22">
        <f>IFERROR(IF(Mass_Data[[#This Row],[Check (1)]]="YES",Mass_Data[[#This Row],[MDL axle group 1 mass]],Mass_Data[[#This Row],[MDL axle group 1 mass]]-(Mass_Data[[#This Row],[Difference between MDL and GCM]]*(Mass_Data[[#This Row],[MDL axle group 1 mass]]/Mass_Data[[#This Row],[Total (1)]]))),"")</f>
        <v>6.3872832369942198</v>
      </c>
      <c r="AD107" s="22">
        <f>IFERROR(IF(Mass_Data[[#This Row],[Check (1)]]="YES",Mass_Data[[#This Row],[MDL axle group 2 mass]],Mass_Data[[#This Row],[MDL axle group 2 mass]]-(Mass_Data[[#This Row],[Difference between MDL and GCM]]*(Mass_Data[[#This Row],[MDL axle group 2 mass]]/Mass_Data[[#This Row],[Total (1)]]))),"")</f>
        <v>16.705202312138727</v>
      </c>
      <c r="AE107" s="22">
        <f>IFERROR(IF(Mass_Data[[#This Row],[Check (1)]]="YES",Mass_Data[[#This Row],[MDL axle group 3 mass]],Mass_Data[[#This Row],[MDL axle group 3 mass]]-(Mass_Data[[#This Row],[Difference between MDL and GCM]]*(Mass_Data[[#This Row],[MDL axle group 3 mass]]/Mass_Data[[#This Row],[Total (1)]]))),"")</f>
        <v>20.635838150289018</v>
      </c>
      <c r="AF107" s="22">
        <f>IFERROR(IF(Mass_Data[[#This Row],[Check (1)]]="YES",Mass_Data[[#This Row],[MDL axle group 4 mass]],Mass_Data[[#This Row],[MDL axle group 4 mass]]-(Mass_Data[[#This Row],[Difference between MDL and GCM]]*(Mass_Data[[#This Row],[MDL axle group 4 mass]]/Mass_Data[[#This Row],[Total (1)]]))),"")</f>
        <v>20.635838150289018</v>
      </c>
      <c r="AG107" s="22">
        <f>IFERROR(IF(Mass_Data[[#This Row],[Check (1)]]="YES",Mass_Data[[#This Row],[MDL axle group 5 mass]],Mass_Data[[#This Row],[MDL axle group 5 mass]]-(Mass_Data[[#This Row],[Difference between MDL and GCM]]*(Mass_Data[[#This Row],[MDL axle group 5 mass]]/Mass_Data[[#This Row],[Total (1)]]))),"")</f>
        <v>20.635838150289018</v>
      </c>
      <c r="AH107" s="22" t="str">
        <f>IFERROR(IF(Mass_Data[[#This Row],[Check (1)]]="YES",Mass_Data[[#This Row],[MDL axle group 6 mass]],Mass_Data[[#This Row],[MDL axle group 6 mass]]-(Mass_Data[[#This Row],[Difference between MDL and GCM]]*(Mass_Data[[#This Row],[MDL axle group 6 mass]]/Mass_Data[[#This Row],[Total (1)]]))),"")</f>
        <v/>
      </c>
      <c r="AI107" s="22" t="str">
        <f>IFERROR(IF(Mass_Data[[#This Row],[Check (1)]]="YES",Mass_Data[[#This Row],[MDL axle group 7 mass]],Mass_Data[[#This Row],[MDL axle group 7 mass]]-(Mass_Data[[#This Row],[Difference between MDL and GCM]]*(Mass_Data[[#This Row],[MDL axle group 7 mass]]/Mass_Data[[#This Row],[Total (1)]]))),"")</f>
        <v/>
      </c>
      <c r="AJ107" s="81">
        <f>SUM(Mass_Data[[#This Row],[Corrected axle group 1 mass]:[Corrected axle group 7 mass]])</f>
        <v>85</v>
      </c>
      <c r="AK107">
        <f>Mass_Data[[#This Row],[Total (2)]]-Mass_Data[[#This Row],[GCM (t)]]</f>
        <v>0</v>
      </c>
      <c r="AL107" s="22" t="str">
        <f>IF(Mass_Data[[#This Row],[Difference between MDL and corrected axle masses]]=0,"YES","NO")</f>
        <v>YES</v>
      </c>
    </row>
    <row r="108" spans="3:38" x14ac:dyDescent="0.35">
      <c r="C108" s="10" t="str">
        <f t="shared" si="1"/>
        <v>PBS - B-triple (3-3-3) (HML): 3</v>
      </c>
      <c r="D108" s="10" t="s">
        <v>171</v>
      </c>
      <c r="E108" s="10" t="s">
        <v>147</v>
      </c>
      <c r="F108" s="10" t="s">
        <v>7</v>
      </c>
      <c r="G108" s="10" t="s">
        <v>5</v>
      </c>
      <c r="H108" t="s">
        <v>69</v>
      </c>
      <c r="I108" s="9">
        <v>91</v>
      </c>
      <c r="J108" s="14">
        <v>58.314157097012163</v>
      </c>
      <c r="K108" s="14">
        <f>Mass_Data[[#This Row],[GCM (t)]]-Mass_Data[[#This Row],[Payload (t)]]</f>
        <v>32.685842902987837</v>
      </c>
      <c r="L108" t="s">
        <v>8</v>
      </c>
      <c r="M108" t="s">
        <v>9</v>
      </c>
      <c r="N108" t="s">
        <v>10</v>
      </c>
      <c r="O108" t="s">
        <v>10</v>
      </c>
      <c r="P108" t="s">
        <v>10</v>
      </c>
      <c r="Q108">
        <v>0</v>
      </c>
      <c r="R108">
        <v>0</v>
      </c>
      <c r="S108" cm="1">
        <f t="array" ref="S108">_xlfn.XLOOKUP(Mass_Data[[#This Row],[axle group 1]]&amp;Mass_Data[[#This Row],[Mass Scheme]],Axle_Data[Axle Code]&amp;Axle_Data[Mass Scheme],Axle_Data[MDL Maximum Mass (t)],"",0)</f>
        <v>6.5</v>
      </c>
      <c r="T108" cm="1">
        <f t="array" ref="T108">_xlfn.XLOOKUP(Mass_Data[[#This Row],[axle group 2]]&amp;Mass_Data[[#This Row],[Mass Scheme]],Axle_Data[Axle Code]&amp;Axle_Data[Mass Scheme],Axle_Data[MDL Maximum Mass (t)],"",0)</f>
        <v>17</v>
      </c>
      <c r="U108" cm="1">
        <f t="array" ref="U108">_xlfn.XLOOKUP(Mass_Data[[#This Row],[axle group 3]]&amp;Mass_Data[[#This Row],[Mass Scheme]],Axle_Data[Axle Code]&amp;Axle_Data[Mass Scheme],Axle_Data[MDL Maximum Mass (t)],"",0)</f>
        <v>22.5</v>
      </c>
      <c r="V108" cm="1">
        <f t="array" ref="V108">_xlfn.XLOOKUP(Mass_Data[[#This Row],[axle group 4]]&amp;Mass_Data[[#This Row],[Mass Scheme]],Axle_Data[Axle Code]&amp;Axle_Data[Mass Scheme],Axle_Data[MDL Maximum Mass (t)],"",0)</f>
        <v>22.5</v>
      </c>
      <c r="W108" cm="1">
        <f t="array" ref="W108">_xlfn.XLOOKUP(Mass_Data[[#This Row],[axle group 5]]&amp;Mass_Data[[#This Row],[Mass Scheme]],Axle_Data[Axle Code]&amp;Axle_Data[Mass Scheme],Axle_Data[MDL Maximum Mass (t)],"",0)</f>
        <v>22.5</v>
      </c>
      <c r="X108" t="str" cm="1">
        <f t="array" ref="X108">_xlfn.XLOOKUP(Mass_Data[[#This Row],[axle group 6]]&amp;Mass_Data[[#This Row],[Mass Scheme]],Axle_Data[Axle Code]&amp;Axle_Data[Mass Scheme],Axle_Data[MDL Maximum Mass (t)],"",0)</f>
        <v/>
      </c>
      <c r="Y108" t="str" cm="1">
        <f t="array" ref="Y108">_xlfn.XLOOKUP(Mass_Data[[#This Row],[axle group 7]]&amp;Mass_Data[[#This Row],[Mass Scheme]],Axle_Data[Axle Code]&amp;Axle_Data[Mass Scheme],Axle_Data[MDL Maximum Mass (t)],"",0)</f>
        <v/>
      </c>
      <c r="Z108" s="81">
        <f>SUM(Mass_Data[[#This Row],[MDL axle group 1 mass]:[MDL axle group 7 mass]])</f>
        <v>91</v>
      </c>
      <c r="AA108">
        <f>Mass_Data[[#This Row],[Total (1)]]-Mass_Data[[#This Row],[GCM (t)]]</f>
        <v>0</v>
      </c>
      <c r="AB108" t="str">
        <f>IF(Mass_Data[[#This Row],[Difference between MDL and GCM]]=0,"YES","NO")</f>
        <v>YES</v>
      </c>
      <c r="AC108" s="22">
        <f>IFERROR(IF(Mass_Data[[#This Row],[Check (1)]]="YES",Mass_Data[[#This Row],[MDL axle group 1 mass]],Mass_Data[[#This Row],[MDL axle group 1 mass]]-(Mass_Data[[#This Row],[Difference between MDL and GCM]]*(Mass_Data[[#This Row],[MDL axle group 1 mass]]/Mass_Data[[#This Row],[Total (1)]]))),"")</f>
        <v>6.5</v>
      </c>
      <c r="AD108" s="22">
        <f>IFERROR(IF(Mass_Data[[#This Row],[Check (1)]]="YES",Mass_Data[[#This Row],[MDL axle group 2 mass]],Mass_Data[[#This Row],[MDL axle group 2 mass]]-(Mass_Data[[#This Row],[Difference between MDL and GCM]]*(Mass_Data[[#This Row],[MDL axle group 2 mass]]/Mass_Data[[#This Row],[Total (1)]]))),"")</f>
        <v>17</v>
      </c>
      <c r="AE108" s="22">
        <f>IFERROR(IF(Mass_Data[[#This Row],[Check (1)]]="YES",Mass_Data[[#This Row],[MDL axle group 3 mass]],Mass_Data[[#This Row],[MDL axle group 3 mass]]-(Mass_Data[[#This Row],[Difference between MDL and GCM]]*(Mass_Data[[#This Row],[MDL axle group 3 mass]]/Mass_Data[[#This Row],[Total (1)]]))),"")</f>
        <v>22.5</v>
      </c>
      <c r="AF108" s="22">
        <f>IFERROR(IF(Mass_Data[[#This Row],[Check (1)]]="YES",Mass_Data[[#This Row],[MDL axle group 4 mass]],Mass_Data[[#This Row],[MDL axle group 4 mass]]-(Mass_Data[[#This Row],[Difference between MDL and GCM]]*(Mass_Data[[#This Row],[MDL axle group 4 mass]]/Mass_Data[[#This Row],[Total (1)]]))),"")</f>
        <v>22.5</v>
      </c>
      <c r="AG108" s="22">
        <f>IFERROR(IF(Mass_Data[[#This Row],[Check (1)]]="YES",Mass_Data[[#This Row],[MDL axle group 5 mass]],Mass_Data[[#This Row],[MDL axle group 5 mass]]-(Mass_Data[[#This Row],[Difference between MDL and GCM]]*(Mass_Data[[#This Row],[MDL axle group 5 mass]]/Mass_Data[[#This Row],[Total (1)]]))),"")</f>
        <v>22.5</v>
      </c>
      <c r="AH108" s="22" t="str">
        <f>IFERROR(IF(Mass_Data[[#This Row],[Check (1)]]="YES",Mass_Data[[#This Row],[MDL axle group 6 mass]],Mass_Data[[#This Row],[MDL axle group 6 mass]]-(Mass_Data[[#This Row],[Difference between MDL and GCM]]*(Mass_Data[[#This Row],[MDL axle group 6 mass]]/Mass_Data[[#This Row],[Total (1)]]))),"")</f>
        <v/>
      </c>
      <c r="AI108" s="22" t="str">
        <f>IFERROR(IF(Mass_Data[[#This Row],[Check (1)]]="YES",Mass_Data[[#This Row],[MDL axle group 7 mass]],Mass_Data[[#This Row],[MDL axle group 7 mass]]-(Mass_Data[[#This Row],[Difference between MDL and GCM]]*(Mass_Data[[#This Row],[MDL axle group 7 mass]]/Mass_Data[[#This Row],[Total (1)]]))),"")</f>
        <v/>
      </c>
      <c r="AJ108" s="81">
        <f>SUM(Mass_Data[[#This Row],[Corrected axle group 1 mass]:[Corrected axle group 7 mass]])</f>
        <v>91</v>
      </c>
      <c r="AK108">
        <f>Mass_Data[[#This Row],[Total (2)]]-Mass_Data[[#This Row],[GCM (t)]]</f>
        <v>0</v>
      </c>
      <c r="AL108" s="22" t="str">
        <f>IF(Mass_Data[[#This Row],[Difference between MDL and corrected axle masses]]=0,"YES","NO")</f>
        <v>YES</v>
      </c>
    </row>
    <row r="109" spans="3:38" x14ac:dyDescent="0.35">
      <c r="C109" s="10" t="str">
        <f t="shared" si="1"/>
        <v>PBS - AB-triple (3-3-3-3) (GML): 3</v>
      </c>
      <c r="D109" s="10" t="s">
        <v>169</v>
      </c>
      <c r="E109" s="10" t="s">
        <v>147</v>
      </c>
      <c r="F109" s="10" t="s">
        <v>18</v>
      </c>
      <c r="G109" s="10" t="s">
        <v>5</v>
      </c>
      <c r="H109" t="s">
        <v>71</v>
      </c>
      <c r="I109" s="9">
        <v>103</v>
      </c>
      <c r="J109" s="14">
        <v>65.599606692246198</v>
      </c>
      <c r="K109" s="14">
        <f>Mass_Data[[#This Row],[GCM (t)]]-Mass_Data[[#This Row],[Payload (t)]]</f>
        <v>37.400393307753802</v>
      </c>
      <c r="L109" t="s">
        <v>8</v>
      </c>
      <c r="M109" t="s">
        <v>9</v>
      </c>
      <c r="N109" t="s">
        <v>10</v>
      </c>
      <c r="O109" t="s">
        <v>10</v>
      </c>
      <c r="P109" t="s">
        <v>10</v>
      </c>
      <c r="Q109" t="s">
        <v>10</v>
      </c>
      <c r="R109">
        <v>0</v>
      </c>
      <c r="S109" cm="1">
        <f t="array" ref="S109">_xlfn.XLOOKUP(Mass_Data[[#This Row],[axle group 1]]&amp;Mass_Data[[#This Row],[Mass Scheme]],Axle_Data[Axle Code]&amp;Axle_Data[Mass Scheme],Axle_Data[MDL Maximum Mass (t)],"",0)</f>
        <v>6.5</v>
      </c>
      <c r="T109" cm="1">
        <f t="array" ref="T109">_xlfn.XLOOKUP(Mass_Data[[#This Row],[axle group 2]]&amp;Mass_Data[[#This Row],[Mass Scheme]],Axle_Data[Axle Code]&amp;Axle_Data[Mass Scheme],Axle_Data[MDL Maximum Mass (t)],"",0)</f>
        <v>16.5</v>
      </c>
      <c r="U109" cm="1">
        <f t="array" ref="U109">_xlfn.XLOOKUP(Mass_Data[[#This Row],[axle group 3]]&amp;Mass_Data[[#This Row],[Mass Scheme]],Axle_Data[Axle Code]&amp;Axle_Data[Mass Scheme],Axle_Data[MDL Maximum Mass (t)],"",0)</f>
        <v>20</v>
      </c>
      <c r="V109" cm="1">
        <f t="array" ref="V109">_xlfn.XLOOKUP(Mass_Data[[#This Row],[axle group 4]]&amp;Mass_Data[[#This Row],[Mass Scheme]],Axle_Data[Axle Code]&amp;Axle_Data[Mass Scheme],Axle_Data[MDL Maximum Mass (t)],"",0)</f>
        <v>20</v>
      </c>
      <c r="W109" cm="1">
        <f t="array" ref="W109">_xlfn.XLOOKUP(Mass_Data[[#This Row],[axle group 5]]&amp;Mass_Data[[#This Row],[Mass Scheme]],Axle_Data[Axle Code]&amp;Axle_Data[Mass Scheme],Axle_Data[MDL Maximum Mass (t)],"",0)</f>
        <v>20</v>
      </c>
      <c r="X109" cm="1">
        <f t="array" ref="X109">_xlfn.XLOOKUP(Mass_Data[[#This Row],[axle group 6]]&amp;Mass_Data[[#This Row],[Mass Scheme]],Axle_Data[Axle Code]&amp;Axle_Data[Mass Scheme],Axle_Data[MDL Maximum Mass (t)],"",0)</f>
        <v>20</v>
      </c>
      <c r="Y109" t="str" cm="1">
        <f t="array" ref="Y109">_xlfn.XLOOKUP(Mass_Data[[#This Row],[axle group 7]]&amp;Mass_Data[[#This Row],[Mass Scheme]],Axle_Data[Axle Code]&amp;Axle_Data[Mass Scheme],Axle_Data[MDL Maximum Mass (t)],"",0)</f>
        <v/>
      </c>
      <c r="Z109" s="81">
        <f>SUM(Mass_Data[[#This Row],[MDL axle group 1 mass]:[MDL axle group 7 mass]])</f>
        <v>103</v>
      </c>
      <c r="AA109">
        <f>Mass_Data[[#This Row],[Total (1)]]-Mass_Data[[#This Row],[GCM (t)]]</f>
        <v>0</v>
      </c>
      <c r="AB109" t="str">
        <f>IF(Mass_Data[[#This Row],[Difference between MDL and GCM]]=0,"YES","NO")</f>
        <v>YES</v>
      </c>
      <c r="AC109" s="22">
        <f>IFERROR(IF(Mass_Data[[#This Row],[Check (1)]]="YES",Mass_Data[[#This Row],[MDL axle group 1 mass]],Mass_Data[[#This Row],[MDL axle group 1 mass]]-(Mass_Data[[#This Row],[Difference between MDL and GCM]]*(Mass_Data[[#This Row],[MDL axle group 1 mass]]/Mass_Data[[#This Row],[Total (1)]]))),"")</f>
        <v>6.5</v>
      </c>
      <c r="AD109" s="22">
        <f>IFERROR(IF(Mass_Data[[#This Row],[Check (1)]]="YES",Mass_Data[[#This Row],[MDL axle group 2 mass]],Mass_Data[[#This Row],[MDL axle group 2 mass]]-(Mass_Data[[#This Row],[Difference between MDL and GCM]]*(Mass_Data[[#This Row],[MDL axle group 2 mass]]/Mass_Data[[#This Row],[Total (1)]]))),"")</f>
        <v>16.5</v>
      </c>
      <c r="AE109" s="22">
        <f>IFERROR(IF(Mass_Data[[#This Row],[Check (1)]]="YES",Mass_Data[[#This Row],[MDL axle group 3 mass]],Mass_Data[[#This Row],[MDL axle group 3 mass]]-(Mass_Data[[#This Row],[Difference between MDL and GCM]]*(Mass_Data[[#This Row],[MDL axle group 3 mass]]/Mass_Data[[#This Row],[Total (1)]]))),"")</f>
        <v>20</v>
      </c>
      <c r="AF109" s="22">
        <f>IFERROR(IF(Mass_Data[[#This Row],[Check (1)]]="YES",Mass_Data[[#This Row],[MDL axle group 4 mass]],Mass_Data[[#This Row],[MDL axle group 4 mass]]-(Mass_Data[[#This Row],[Difference between MDL and GCM]]*(Mass_Data[[#This Row],[MDL axle group 4 mass]]/Mass_Data[[#This Row],[Total (1)]]))),"")</f>
        <v>20</v>
      </c>
      <c r="AG109" s="22">
        <f>IFERROR(IF(Mass_Data[[#This Row],[Check (1)]]="YES",Mass_Data[[#This Row],[MDL axle group 5 mass]],Mass_Data[[#This Row],[MDL axle group 5 mass]]-(Mass_Data[[#This Row],[Difference between MDL and GCM]]*(Mass_Data[[#This Row],[MDL axle group 5 mass]]/Mass_Data[[#This Row],[Total (1)]]))),"")</f>
        <v>20</v>
      </c>
      <c r="AH109" s="22">
        <f>IFERROR(IF(Mass_Data[[#This Row],[Check (1)]]="YES",Mass_Data[[#This Row],[MDL axle group 6 mass]],Mass_Data[[#This Row],[MDL axle group 6 mass]]-(Mass_Data[[#This Row],[Difference between MDL and GCM]]*(Mass_Data[[#This Row],[MDL axle group 6 mass]]/Mass_Data[[#This Row],[Total (1)]]))),"")</f>
        <v>20</v>
      </c>
      <c r="AI109" s="22" t="str">
        <f>IFERROR(IF(Mass_Data[[#This Row],[Check (1)]]="YES",Mass_Data[[#This Row],[MDL axle group 7 mass]],Mass_Data[[#This Row],[MDL axle group 7 mass]]-(Mass_Data[[#This Row],[Difference between MDL and GCM]]*(Mass_Data[[#This Row],[MDL axle group 7 mass]]/Mass_Data[[#This Row],[Total (1)]]))),"")</f>
        <v/>
      </c>
      <c r="AJ109" s="81">
        <f>SUM(Mass_Data[[#This Row],[Corrected axle group 1 mass]:[Corrected axle group 7 mass]])</f>
        <v>103</v>
      </c>
      <c r="AK109">
        <f>Mass_Data[[#This Row],[Total (2)]]-Mass_Data[[#This Row],[GCM (t)]]</f>
        <v>0</v>
      </c>
      <c r="AL109" s="22" t="str">
        <f>IF(Mass_Data[[#This Row],[Difference between MDL and corrected axle masses]]=0,"YES","NO")</f>
        <v>YES</v>
      </c>
    </row>
    <row r="110" spans="3:38" x14ac:dyDescent="0.35">
      <c r="C110" s="10" t="str">
        <f t="shared" si="1"/>
        <v>PBS - AB-triple (3-3-3-3) (CML): 3</v>
      </c>
      <c r="D110" s="10" t="s">
        <v>169</v>
      </c>
      <c r="E110" s="10" t="s">
        <v>147</v>
      </c>
      <c r="F110" s="10" t="s">
        <v>20</v>
      </c>
      <c r="G110" s="10" t="s">
        <v>5</v>
      </c>
      <c r="H110" t="s">
        <v>71</v>
      </c>
      <c r="I110" s="9">
        <v>105</v>
      </c>
      <c r="J110" s="14">
        <v>67.599606692246198</v>
      </c>
      <c r="K110" s="14">
        <f>Mass_Data[[#This Row],[GCM (t)]]-Mass_Data[[#This Row],[Payload (t)]]</f>
        <v>37.400393307753802</v>
      </c>
      <c r="L110" t="s">
        <v>8</v>
      </c>
      <c r="M110" t="s">
        <v>9</v>
      </c>
      <c r="N110" t="s">
        <v>10</v>
      </c>
      <c r="O110" t="s">
        <v>10</v>
      </c>
      <c r="P110" t="s">
        <v>10</v>
      </c>
      <c r="Q110" t="s">
        <v>10</v>
      </c>
      <c r="R110">
        <v>0</v>
      </c>
      <c r="S110" cm="1">
        <f t="array" ref="S110">_xlfn.XLOOKUP(Mass_Data[[#This Row],[axle group 1]]&amp;Mass_Data[[#This Row],[Mass Scheme]],Axle_Data[Axle Code]&amp;Axle_Data[Mass Scheme],Axle_Data[MDL Maximum Mass (t)],"",0)</f>
        <v>6.5</v>
      </c>
      <c r="T110" cm="1">
        <f t="array" ref="T110">_xlfn.XLOOKUP(Mass_Data[[#This Row],[axle group 2]]&amp;Mass_Data[[#This Row],[Mass Scheme]],Axle_Data[Axle Code]&amp;Axle_Data[Mass Scheme],Axle_Data[MDL Maximum Mass (t)],"",0)</f>
        <v>17</v>
      </c>
      <c r="U110" cm="1">
        <f t="array" ref="U110">_xlfn.XLOOKUP(Mass_Data[[#This Row],[axle group 3]]&amp;Mass_Data[[#This Row],[Mass Scheme]],Axle_Data[Axle Code]&amp;Axle_Data[Mass Scheme],Axle_Data[MDL Maximum Mass (t)],"",0)</f>
        <v>21</v>
      </c>
      <c r="V110" cm="1">
        <f t="array" ref="V110">_xlfn.XLOOKUP(Mass_Data[[#This Row],[axle group 4]]&amp;Mass_Data[[#This Row],[Mass Scheme]],Axle_Data[Axle Code]&amp;Axle_Data[Mass Scheme],Axle_Data[MDL Maximum Mass (t)],"",0)</f>
        <v>21</v>
      </c>
      <c r="W110" cm="1">
        <f t="array" ref="W110">_xlfn.XLOOKUP(Mass_Data[[#This Row],[axle group 5]]&amp;Mass_Data[[#This Row],[Mass Scheme]],Axle_Data[Axle Code]&amp;Axle_Data[Mass Scheme],Axle_Data[MDL Maximum Mass (t)],"",0)</f>
        <v>21</v>
      </c>
      <c r="X110" cm="1">
        <f t="array" ref="X110">_xlfn.XLOOKUP(Mass_Data[[#This Row],[axle group 6]]&amp;Mass_Data[[#This Row],[Mass Scheme]],Axle_Data[Axle Code]&amp;Axle_Data[Mass Scheme],Axle_Data[MDL Maximum Mass (t)],"",0)</f>
        <v>21</v>
      </c>
      <c r="Y110" t="str" cm="1">
        <f t="array" ref="Y110">_xlfn.XLOOKUP(Mass_Data[[#This Row],[axle group 7]]&amp;Mass_Data[[#This Row],[Mass Scheme]],Axle_Data[Axle Code]&amp;Axle_Data[Mass Scheme],Axle_Data[MDL Maximum Mass (t)],"",0)</f>
        <v/>
      </c>
      <c r="Z110" s="81">
        <f>SUM(Mass_Data[[#This Row],[MDL axle group 1 mass]:[MDL axle group 7 mass]])</f>
        <v>107.5</v>
      </c>
      <c r="AA110">
        <f>Mass_Data[[#This Row],[Total (1)]]-Mass_Data[[#This Row],[GCM (t)]]</f>
        <v>2.5</v>
      </c>
      <c r="AB110" t="str">
        <f>IF(Mass_Data[[#This Row],[Difference between MDL and GCM]]=0,"YES","NO")</f>
        <v>NO</v>
      </c>
      <c r="AC110" s="22">
        <f>IFERROR(IF(Mass_Data[[#This Row],[Check (1)]]="YES",Mass_Data[[#This Row],[MDL axle group 1 mass]],Mass_Data[[#This Row],[MDL axle group 1 mass]]-(Mass_Data[[#This Row],[Difference between MDL and GCM]]*(Mass_Data[[#This Row],[MDL axle group 1 mass]]/Mass_Data[[#This Row],[Total (1)]]))),"")</f>
        <v>6.3488372093023253</v>
      </c>
      <c r="AD110" s="22">
        <f>IFERROR(IF(Mass_Data[[#This Row],[Check (1)]]="YES",Mass_Data[[#This Row],[MDL axle group 2 mass]],Mass_Data[[#This Row],[MDL axle group 2 mass]]-(Mass_Data[[#This Row],[Difference between MDL and GCM]]*(Mass_Data[[#This Row],[MDL axle group 2 mass]]/Mass_Data[[#This Row],[Total (1)]]))),"")</f>
        <v>16.604651162790699</v>
      </c>
      <c r="AE110" s="22">
        <f>IFERROR(IF(Mass_Data[[#This Row],[Check (1)]]="YES",Mass_Data[[#This Row],[MDL axle group 3 mass]],Mass_Data[[#This Row],[MDL axle group 3 mass]]-(Mass_Data[[#This Row],[Difference between MDL and GCM]]*(Mass_Data[[#This Row],[MDL axle group 3 mass]]/Mass_Data[[#This Row],[Total (1)]]))),"")</f>
        <v>20.511627906976745</v>
      </c>
      <c r="AF110" s="22">
        <f>IFERROR(IF(Mass_Data[[#This Row],[Check (1)]]="YES",Mass_Data[[#This Row],[MDL axle group 4 mass]],Mass_Data[[#This Row],[MDL axle group 4 mass]]-(Mass_Data[[#This Row],[Difference between MDL and GCM]]*(Mass_Data[[#This Row],[MDL axle group 4 mass]]/Mass_Data[[#This Row],[Total (1)]]))),"")</f>
        <v>20.511627906976745</v>
      </c>
      <c r="AG110" s="22">
        <f>IFERROR(IF(Mass_Data[[#This Row],[Check (1)]]="YES",Mass_Data[[#This Row],[MDL axle group 5 mass]],Mass_Data[[#This Row],[MDL axle group 5 mass]]-(Mass_Data[[#This Row],[Difference between MDL and GCM]]*(Mass_Data[[#This Row],[MDL axle group 5 mass]]/Mass_Data[[#This Row],[Total (1)]]))),"")</f>
        <v>20.511627906976745</v>
      </c>
      <c r="AH110" s="22">
        <f>IFERROR(IF(Mass_Data[[#This Row],[Check (1)]]="YES",Mass_Data[[#This Row],[MDL axle group 6 mass]],Mass_Data[[#This Row],[MDL axle group 6 mass]]-(Mass_Data[[#This Row],[Difference between MDL and GCM]]*(Mass_Data[[#This Row],[MDL axle group 6 mass]]/Mass_Data[[#This Row],[Total (1)]]))),"")</f>
        <v>20.511627906976745</v>
      </c>
      <c r="AI110" s="22" t="str">
        <f>IFERROR(IF(Mass_Data[[#This Row],[Check (1)]]="YES",Mass_Data[[#This Row],[MDL axle group 7 mass]],Mass_Data[[#This Row],[MDL axle group 7 mass]]-(Mass_Data[[#This Row],[Difference between MDL and GCM]]*(Mass_Data[[#This Row],[MDL axle group 7 mass]]/Mass_Data[[#This Row],[Total (1)]]))),"")</f>
        <v/>
      </c>
      <c r="AJ110" s="81">
        <f>SUM(Mass_Data[[#This Row],[Corrected axle group 1 mass]:[Corrected axle group 7 mass]])</f>
        <v>105</v>
      </c>
      <c r="AK110">
        <f>Mass_Data[[#This Row],[Total (2)]]-Mass_Data[[#This Row],[GCM (t)]]</f>
        <v>0</v>
      </c>
      <c r="AL110" s="22" t="str">
        <f>IF(Mass_Data[[#This Row],[Difference between MDL and corrected axle masses]]=0,"YES","NO")</f>
        <v>YES</v>
      </c>
    </row>
    <row r="111" spans="3:38" x14ac:dyDescent="0.35">
      <c r="C111" s="10" t="str">
        <f t="shared" si="1"/>
        <v>PBS - AB-triple (3-3-3-3) (HML): 3</v>
      </c>
      <c r="D111" s="10" t="s">
        <v>169</v>
      </c>
      <c r="E111" s="10" t="s">
        <v>147</v>
      </c>
      <c r="F111" s="10" t="s">
        <v>7</v>
      </c>
      <c r="G111" s="10" t="s">
        <v>5</v>
      </c>
      <c r="H111" t="s">
        <v>71</v>
      </c>
      <c r="I111" s="9">
        <v>110</v>
      </c>
      <c r="J111" s="14">
        <v>72.599606692246198</v>
      </c>
      <c r="K111" s="14">
        <f>Mass_Data[[#This Row],[GCM (t)]]-Mass_Data[[#This Row],[Payload (t)]]</f>
        <v>37.400393307753802</v>
      </c>
      <c r="L111" t="s">
        <v>8</v>
      </c>
      <c r="M111" t="s">
        <v>9</v>
      </c>
      <c r="N111" t="s">
        <v>10</v>
      </c>
      <c r="O111" t="s">
        <v>10</v>
      </c>
      <c r="P111" t="s">
        <v>10</v>
      </c>
      <c r="Q111" t="s">
        <v>10</v>
      </c>
      <c r="R111">
        <v>0</v>
      </c>
      <c r="S111" cm="1">
        <f t="array" ref="S111">_xlfn.XLOOKUP(Mass_Data[[#This Row],[axle group 1]]&amp;Mass_Data[[#This Row],[Mass Scheme]],Axle_Data[Axle Code]&amp;Axle_Data[Mass Scheme],Axle_Data[MDL Maximum Mass (t)],"",0)</f>
        <v>6.5</v>
      </c>
      <c r="T111" cm="1">
        <f t="array" ref="T111">_xlfn.XLOOKUP(Mass_Data[[#This Row],[axle group 2]]&amp;Mass_Data[[#This Row],[Mass Scheme]],Axle_Data[Axle Code]&amp;Axle_Data[Mass Scheme],Axle_Data[MDL Maximum Mass (t)],"",0)</f>
        <v>17</v>
      </c>
      <c r="U111" cm="1">
        <f t="array" ref="U111">_xlfn.XLOOKUP(Mass_Data[[#This Row],[axle group 3]]&amp;Mass_Data[[#This Row],[Mass Scheme]],Axle_Data[Axle Code]&amp;Axle_Data[Mass Scheme],Axle_Data[MDL Maximum Mass (t)],"",0)</f>
        <v>22.5</v>
      </c>
      <c r="V111" cm="1">
        <f t="array" ref="V111">_xlfn.XLOOKUP(Mass_Data[[#This Row],[axle group 4]]&amp;Mass_Data[[#This Row],[Mass Scheme]],Axle_Data[Axle Code]&amp;Axle_Data[Mass Scheme],Axle_Data[MDL Maximum Mass (t)],"",0)</f>
        <v>22.5</v>
      </c>
      <c r="W111" cm="1">
        <f t="array" ref="W111">_xlfn.XLOOKUP(Mass_Data[[#This Row],[axle group 5]]&amp;Mass_Data[[#This Row],[Mass Scheme]],Axle_Data[Axle Code]&amp;Axle_Data[Mass Scheme],Axle_Data[MDL Maximum Mass (t)],"",0)</f>
        <v>22.5</v>
      </c>
      <c r="X111" cm="1">
        <f t="array" ref="X111">_xlfn.XLOOKUP(Mass_Data[[#This Row],[axle group 6]]&amp;Mass_Data[[#This Row],[Mass Scheme]],Axle_Data[Axle Code]&amp;Axle_Data[Mass Scheme],Axle_Data[MDL Maximum Mass (t)],"",0)</f>
        <v>22.5</v>
      </c>
      <c r="Y111" t="str" cm="1">
        <f t="array" ref="Y111">_xlfn.XLOOKUP(Mass_Data[[#This Row],[axle group 7]]&amp;Mass_Data[[#This Row],[Mass Scheme]],Axle_Data[Axle Code]&amp;Axle_Data[Mass Scheme],Axle_Data[MDL Maximum Mass (t)],"",0)</f>
        <v/>
      </c>
      <c r="Z111" s="81">
        <f>SUM(Mass_Data[[#This Row],[MDL axle group 1 mass]:[MDL axle group 7 mass]])</f>
        <v>113.5</v>
      </c>
      <c r="AA111">
        <f>Mass_Data[[#This Row],[Total (1)]]-Mass_Data[[#This Row],[GCM (t)]]</f>
        <v>3.5</v>
      </c>
      <c r="AB111" t="str">
        <f>IF(Mass_Data[[#This Row],[Difference between MDL and GCM]]=0,"YES","NO")</f>
        <v>NO</v>
      </c>
      <c r="AC111" s="22">
        <f>IFERROR(IF(Mass_Data[[#This Row],[Check (1)]]="YES",Mass_Data[[#This Row],[MDL axle group 1 mass]],Mass_Data[[#This Row],[MDL axle group 1 mass]]-(Mass_Data[[#This Row],[Difference between MDL and GCM]]*(Mass_Data[[#This Row],[MDL axle group 1 mass]]/Mass_Data[[#This Row],[Total (1)]]))),"")</f>
        <v>6.2995594713656384</v>
      </c>
      <c r="AD111" s="22">
        <f>IFERROR(IF(Mass_Data[[#This Row],[Check (1)]]="YES",Mass_Data[[#This Row],[MDL axle group 2 mass]],Mass_Data[[#This Row],[MDL axle group 2 mass]]-(Mass_Data[[#This Row],[Difference between MDL and GCM]]*(Mass_Data[[#This Row],[MDL axle group 2 mass]]/Mass_Data[[#This Row],[Total (1)]]))),"")</f>
        <v>16.475770925110133</v>
      </c>
      <c r="AE111" s="22">
        <f>IFERROR(IF(Mass_Data[[#This Row],[Check (1)]]="YES",Mass_Data[[#This Row],[MDL axle group 3 mass]],Mass_Data[[#This Row],[MDL axle group 3 mass]]-(Mass_Data[[#This Row],[Difference between MDL and GCM]]*(Mass_Data[[#This Row],[MDL axle group 3 mass]]/Mass_Data[[#This Row],[Total (1)]]))),"")</f>
        <v>21.806167400881058</v>
      </c>
      <c r="AF111" s="22">
        <f>IFERROR(IF(Mass_Data[[#This Row],[Check (1)]]="YES",Mass_Data[[#This Row],[MDL axle group 4 mass]],Mass_Data[[#This Row],[MDL axle group 4 mass]]-(Mass_Data[[#This Row],[Difference between MDL and GCM]]*(Mass_Data[[#This Row],[MDL axle group 4 mass]]/Mass_Data[[#This Row],[Total (1)]]))),"")</f>
        <v>21.806167400881058</v>
      </c>
      <c r="AG111" s="22">
        <f>IFERROR(IF(Mass_Data[[#This Row],[Check (1)]]="YES",Mass_Data[[#This Row],[MDL axle group 5 mass]],Mass_Data[[#This Row],[MDL axle group 5 mass]]-(Mass_Data[[#This Row],[Difference between MDL and GCM]]*(Mass_Data[[#This Row],[MDL axle group 5 mass]]/Mass_Data[[#This Row],[Total (1)]]))),"")</f>
        <v>21.806167400881058</v>
      </c>
      <c r="AH111" s="22">
        <f>IFERROR(IF(Mass_Data[[#This Row],[Check (1)]]="YES",Mass_Data[[#This Row],[MDL axle group 6 mass]],Mass_Data[[#This Row],[MDL axle group 6 mass]]-(Mass_Data[[#This Row],[Difference between MDL and GCM]]*(Mass_Data[[#This Row],[MDL axle group 6 mass]]/Mass_Data[[#This Row],[Total (1)]]))),"")</f>
        <v>21.806167400881058</v>
      </c>
      <c r="AI111" s="22" t="str">
        <f>IFERROR(IF(Mass_Data[[#This Row],[Check (1)]]="YES",Mass_Data[[#This Row],[MDL axle group 7 mass]],Mass_Data[[#This Row],[MDL axle group 7 mass]]-(Mass_Data[[#This Row],[Difference between MDL and GCM]]*(Mass_Data[[#This Row],[MDL axle group 7 mass]]/Mass_Data[[#This Row],[Total (1)]]))),"")</f>
        <v/>
      </c>
      <c r="AJ111" s="81">
        <f>SUM(Mass_Data[[#This Row],[Corrected axle group 1 mass]:[Corrected axle group 7 mass]])</f>
        <v>110.00000000000003</v>
      </c>
      <c r="AK111">
        <f>Mass_Data[[#This Row],[Total (2)]]-Mass_Data[[#This Row],[GCM (t)]]</f>
        <v>0</v>
      </c>
      <c r="AL111" s="22" t="str">
        <f>IF(Mass_Data[[#This Row],[Difference between MDL and corrected axle masses]]=0,"YES","NO")</f>
        <v>YES</v>
      </c>
    </row>
    <row r="112" spans="3:38" x14ac:dyDescent="0.35">
      <c r="C112" s="10" t="str">
        <f t="shared" si="1"/>
        <v>PBS - BA-triple (3-3-3-3) (GML): 3</v>
      </c>
      <c r="D112" s="10" t="s">
        <v>167</v>
      </c>
      <c r="E112" s="10" t="s">
        <v>147</v>
      </c>
      <c r="F112" s="10" t="s">
        <v>18</v>
      </c>
      <c r="G112" s="10" t="s">
        <v>5</v>
      </c>
      <c r="H112" t="s">
        <v>128</v>
      </c>
      <c r="I112" s="9">
        <v>103</v>
      </c>
      <c r="J112" s="14">
        <v>65.599606692246198</v>
      </c>
      <c r="K112" s="14">
        <f>Mass_Data[[#This Row],[GCM (t)]]-Mass_Data[[#This Row],[Payload (t)]]</f>
        <v>37.400393307753802</v>
      </c>
      <c r="L112" t="s">
        <v>8</v>
      </c>
      <c r="M112" t="s">
        <v>9</v>
      </c>
      <c r="N112" t="s">
        <v>10</v>
      </c>
      <c r="O112" t="s">
        <v>10</v>
      </c>
      <c r="P112" t="s">
        <v>10</v>
      </c>
      <c r="Q112" t="s">
        <v>10</v>
      </c>
      <c r="R112">
        <v>0</v>
      </c>
      <c r="S112" cm="1">
        <f t="array" ref="S112">_xlfn.XLOOKUP(Mass_Data[[#This Row],[axle group 1]]&amp;Mass_Data[[#This Row],[Mass Scheme]],Axle_Data[Axle Code]&amp;Axle_Data[Mass Scheme],Axle_Data[MDL Maximum Mass (t)],"",0)</f>
        <v>6.5</v>
      </c>
      <c r="T112" cm="1">
        <f t="array" ref="T112">_xlfn.XLOOKUP(Mass_Data[[#This Row],[axle group 2]]&amp;Mass_Data[[#This Row],[Mass Scheme]],Axle_Data[Axle Code]&amp;Axle_Data[Mass Scheme],Axle_Data[MDL Maximum Mass (t)],"",0)</f>
        <v>16.5</v>
      </c>
      <c r="U112" cm="1">
        <f t="array" ref="U112">_xlfn.XLOOKUP(Mass_Data[[#This Row],[axle group 3]]&amp;Mass_Data[[#This Row],[Mass Scheme]],Axle_Data[Axle Code]&amp;Axle_Data[Mass Scheme],Axle_Data[MDL Maximum Mass (t)],"",0)</f>
        <v>20</v>
      </c>
      <c r="V112" cm="1">
        <f t="array" ref="V112">_xlfn.XLOOKUP(Mass_Data[[#This Row],[axle group 4]]&amp;Mass_Data[[#This Row],[Mass Scheme]],Axle_Data[Axle Code]&amp;Axle_Data[Mass Scheme],Axle_Data[MDL Maximum Mass (t)],"",0)</f>
        <v>20</v>
      </c>
      <c r="W112" cm="1">
        <f t="array" ref="W112">_xlfn.XLOOKUP(Mass_Data[[#This Row],[axle group 5]]&amp;Mass_Data[[#This Row],[Mass Scheme]],Axle_Data[Axle Code]&amp;Axle_Data[Mass Scheme],Axle_Data[MDL Maximum Mass (t)],"",0)</f>
        <v>20</v>
      </c>
      <c r="X112" cm="1">
        <f t="array" ref="X112">_xlfn.XLOOKUP(Mass_Data[[#This Row],[axle group 6]]&amp;Mass_Data[[#This Row],[Mass Scheme]],Axle_Data[Axle Code]&amp;Axle_Data[Mass Scheme],Axle_Data[MDL Maximum Mass (t)],"",0)</f>
        <v>20</v>
      </c>
      <c r="Y112" t="str" cm="1">
        <f t="array" ref="Y112">_xlfn.XLOOKUP(Mass_Data[[#This Row],[axle group 7]]&amp;Mass_Data[[#This Row],[Mass Scheme]],Axle_Data[Axle Code]&amp;Axle_Data[Mass Scheme],Axle_Data[MDL Maximum Mass (t)],"",0)</f>
        <v/>
      </c>
      <c r="Z112" s="81">
        <f>SUM(Mass_Data[[#This Row],[MDL axle group 1 mass]:[MDL axle group 7 mass]])</f>
        <v>103</v>
      </c>
      <c r="AA112">
        <f>Mass_Data[[#This Row],[Total (1)]]-Mass_Data[[#This Row],[GCM (t)]]</f>
        <v>0</v>
      </c>
      <c r="AB112" t="str">
        <f>IF(Mass_Data[[#This Row],[Difference between MDL and GCM]]=0,"YES","NO")</f>
        <v>YES</v>
      </c>
      <c r="AC112" s="22">
        <f>IFERROR(IF(Mass_Data[[#This Row],[Check (1)]]="YES",Mass_Data[[#This Row],[MDL axle group 1 mass]],Mass_Data[[#This Row],[MDL axle group 1 mass]]-(Mass_Data[[#This Row],[Difference between MDL and GCM]]*(Mass_Data[[#This Row],[MDL axle group 1 mass]]/Mass_Data[[#This Row],[Total (1)]]))),"")</f>
        <v>6.5</v>
      </c>
      <c r="AD112" s="22">
        <f>IFERROR(IF(Mass_Data[[#This Row],[Check (1)]]="YES",Mass_Data[[#This Row],[MDL axle group 2 mass]],Mass_Data[[#This Row],[MDL axle group 2 mass]]-(Mass_Data[[#This Row],[Difference between MDL and GCM]]*(Mass_Data[[#This Row],[MDL axle group 2 mass]]/Mass_Data[[#This Row],[Total (1)]]))),"")</f>
        <v>16.5</v>
      </c>
      <c r="AE112" s="22">
        <f>IFERROR(IF(Mass_Data[[#This Row],[Check (1)]]="YES",Mass_Data[[#This Row],[MDL axle group 3 mass]],Mass_Data[[#This Row],[MDL axle group 3 mass]]-(Mass_Data[[#This Row],[Difference between MDL and GCM]]*(Mass_Data[[#This Row],[MDL axle group 3 mass]]/Mass_Data[[#This Row],[Total (1)]]))),"")</f>
        <v>20</v>
      </c>
      <c r="AF112" s="22">
        <f>IFERROR(IF(Mass_Data[[#This Row],[Check (1)]]="YES",Mass_Data[[#This Row],[MDL axle group 4 mass]],Mass_Data[[#This Row],[MDL axle group 4 mass]]-(Mass_Data[[#This Row],[Difference between MDL and GCM]]*(Mass_Data[[#This Row],[MDL axle group 4 mass]]/Mass_Data[[#This Row],[Total (1)]]))),"")</f>
        <v>20</v>
      </c>
      <c r="AG112" s="22">
        <f>IFERROR(IF(Mass_Data[[#This Row],[Check (1)]]="YES",Mass_Data[[#This Row],[MDL axle group 5 mass]],Mass_Data[[#This Row],[MDL axle group 5 mass]]-(Mass_Data[[#This Row],[Difference between MDL and GCM]]*(Mass_Data[[#This Row],[MDL axle group 5 mass]]/Mass_Data[[#This Row],[Total (1)]]))),"")</f>
        <v>20</v>
      </c>
      <c r="AH112" s="22">
        <f>IFERROR(IF(Mass_Data[[#This Row],[Check (1)]]="YES",Mass_Data[[#This Row],[MDL axle group 6 mass]],Mass_Data[[#This Row],[MDL axle group 6 mass]]-(Mass_Data[[#This Row],[Difference between MDL and GCM]]*(Mass_Data[[#This Row],[MDL axle group 6 mass]]/Mass_Data[[#This Row],[Total (1)]]))),"")</f>
        <v>20</v>
      </c>
      <c r="AI112" s="22" t="str">
        <f>IFERROR(IF(Mass_Data[[#This Row],[Check (1)]]="YES",Mass_Data[[#This Row],[MDL axle group 7 mass]],Mass_Data[[#This Row],[MDL axle group 7 mass]]-(Mass_Data[[#This Row],[Difference between MDL and GCM]]*(Mass_Data[[#This Row],[MDL axle group 7 mass]]/Mass_Data[[#This Row],[Total (1)]]))),"")</f>
        <v/>
      </c>
      <c r="AJ112" s="81">
        <f>SUM(Mass_Data[[#This Row],[Corrected axle group 1 mass]:[Corrected axle group 7 mass]])</f>
        <v>103</v>
      </c>
      <c r="AK112">
        <f>Mass_Data[[#This Row],[Total (2)]]-Mass_Data[[#This Row],[GCM (t)]]</f>
        <v>0</v>
      </c>
      <c r="AL112" s="22" t="str">
        <f>IF(Mass_Data[[#This Row],[Difference between MDL and corrected axle masses]]=0,"YES","NO")</f>
        <v>YES</v>
      </c>
    </row>
    <row r="113" spans="3:38" x14ac:dyDescent="0.35">
      <c r="C113" s="10" t="str">
        <f t="shared" si="1"/>
        <v>PBS - BA-triple (3-3-3-3) (CML): 3</v>
      </c>
      <c r="D113" s="10" t="s">
        <v>167</v>
      </c>
      <c r="E113" s="10" t="s">
        <v>147</v>
      </c>
      <c r="F113" s="10" t="s">
        <v>20</v>
      </c>
      <c r="G113" s="10" t="s">
        <v>5</v>
      </c>
      <c r="H113" t="s">
        <v>128</v>
      </c>
      <c r="I113" s="9">
        <v>105</v>
      </c>
      <c r="J113" s="14">
        <v>67.599606692246198</v>
      </c>
      <c r="K113" s="14">
        <f>Mass_Data[[#This Row],[GCM (t)]]-Mass_Data[[#This Row],[Payload (t)]]</f>
        <v>37.400393307753802</v>
      </c>
      <c r="L113" t="s">
        <v>8</v>
      </c>
      <c r="M113" t="s">
        <v>9</v>
      </c>
      <c r="N113" t="s">
        <v>10</v>
      </c>
      <c r="O113" t="s">
        <v>10</v>
      </c>
      <c r="P113" t="s">
        <v>10</v>
      </c>
      <c r="Q113" t="s">
        <v>10</v>
      </c>
      <c r="R113">
        <v>0</v>
      </c>
      <c r="S113" cm="1">
        <f t="array" ref="S113">_xlfn.XLOOKUP(Mass_Data[[#This Row],[axle group 1]]&amp;Mass_Data[[#This Row],[Mass Scheme]],Axle_Data[Axle Code]&amp;Axle_Data[Mass Scheme],Axle_Data[MDL Maximum Mass (t)],"",0)</f>
        <v>6.5</v>
      </c>
      <c r="T113" cm="1">
        <f t="array" ref="T113">_xlfn.XLOOKUP(Mass_Data[[#This Row],[axle group 2]]&amp;Mass_Data[[#This Row],[Mass Scheme]],Axle_Data[Axle Code]&amp;Axle_Data[Mass Scheme],Axle_Data[MDL Maximum Mass (t)],"",0)</f>
        <v>17</v>
      </c>
      <c r="U113" cm="1">
        <f t="array" ref="U113">_xlfn.XLOOKUP(Mass_Data[[#This Row],[axle group 3]]&amp;Mass_Data[[#This Row],[Mass Scheme]],Axle_Data[Axle Code]&amp;Axle_Data[Mass Scheme],Axle_Data[MDL Maximum Mass (t)],"",0)</f>
        <v>21</v>
      </c>
      <c r="V113" cm="1">
        <f t="array" ref="V113">_xlfn.XLOOKUP(Mass_Data[[#This Row],[axle group 4]]&amp;Mass_Data[[#This Row],[Mass Scheme]],Axle_Data[Axle Code]&amp;Axle_Data[Mass Scheme],Axle_Data[MDL Maximum Mass (t)],"",0)</f>
        <v>21</v>
      </c>
      <c r="W113" cm="1">
        <f t="array" ref="W113">_xlfn.XLOOKUP(Mass_Data[[#This Row],[axle group 5]]&amp;Mass_Data[[#This Row],[Mass Scheme]],Axle_Data[Axle Code]&amp;Axle_Data[Mass Scheme],Axle_Data[MDL Maximum Mass (t)],"",0)</f>
        <v>21</v>
      </c>
      <c r="X113" cm="1">
        <f t="array" ref="X113">_xlfn.XLOOKUP(Mass_Data[[#This Row],[axle group 6]]&amp;Mass_Data[[#This Row],[Mass Scheme]],Axle_Data[Axle Code]&amp;Axle_Data[Mass Scheme],Axle_Data[MDL Maximum Mass (t)],"",0)</f>
        <v>21</v>
      </c>
      <c r="Y113" t="str" cm="1">
        <f t="array" ref="Y113">_xlfn.XLOOKUP(Mass_Data[[#This Row],[axle group 7]]&amp;Mass_Data[[#This Row],[Mass Scheme]],Axle_Data[Axle Code]&amp;Axle_Data[Mass Scheme],Axle_Data[MDL Maximum Mass (t)],"",0)</f>
        <v/>
      </c>
      <c r="Z113" s="81">
        <f>SUM(Mass_Data[[#This Row],[MDL axle group 1 mass]:[MDL axle group 7 mass]])</f>
        <v>107.5</v>
      </c>
      <c r="AA113">
        <f>Mass_Data[[#This Row],[Total (1)]]-Mass_Data[[#This Row],[GCM (t)]]</f>
        <v>2.5</v>
      </c>
      <c r="AB113" t="str">
        <f>IF(Mass_Data[[#This Row],[Difference between MDL and GCM]]=0,"YES","NO")</f>
        <v>NO</v>
      </c>
      <c r="AC113" s="22">
        <f>IFERROR(IF(Mass_Data[[#This Row],[Check (1)]]="YES",Mass_Data[[#This Row],[MDL axle group 1 mass]],Mass_Data[[#This Row],[MDL axle group 1 mass]]-(Mass_Data[[#This Row],[Difference between MDL and GCM]]*(Mass_Data[[#This Row],[MDL axle group 1 mass]]/Mass_Data[[#This Row],[Total (1)]]))),"")</f>
        <v>6.3488372093023253</v>
      </c>
      <c r="AD113" s="22">
        <f>IFERROR(IF(Mass_Data[[#This Row],[Check (1)]]="YES",Mass_Data[[#This Row],[MDL axle group 2 mass]],Mass_Data[[#This Row],[MDL axle group 2 mass]]-(Mass_Data[[#This Row],[Difference between MDL and GCM]]*(Mass_Data[[#This Row],[MDL axle group 2 mass]]/Mass_Data[[#This Row],[Total (1)]]))),"")</f>
        <v>16.604651162790699</v>
      </c>
      <c r="AE113" s="22">
        <f>IFERROR(IF(Mass_Data[[#This Row],[Check (1)]]="YES",Mass_Data[[#This Row],[MDL axle group 3 mass]],Mass_Data[[#This Row],[MDL axle group 3 mass]]-(Mass_Data[[#This Row],[Difference between MDL and GCM]]*(Mass_Data[[#This Row],[MDL axle group 3 mass]]/Mass_Data[[#This Row],[Total (1)]]))),"")</f>
        <v>20.511627906976745</v>
      </c>
      <c r="AF113" s="22">
        <f>IFERROR(IF(Mass_Data[[#This Row],[Check (1)]]="YES",Mass_Data[[#This Row],[MDL axle group 4 mass]],Mass_Data[[#This Row],[MDL axle group 4 mass]]-(Mass_Data[[#This Row],[Difference between MDL and GCM]]*(Mass_Data[[#This Row],[MDL axle group 4 mass]]/Mass_Data[[#This Row],[Total (1)]]))),"")</f>
        <v>20.511627906976745</v>
      </c>
      <c r="AG113" s="22">
        <f>IFERROR(IF(Mass_Data[[#This Row],[Check (1)]]="YES",Mass_Data[[#This Row],[MDL axle group 5 mass]],Mass_Data[[#This Row],[MDL axle group 5 mass]]-(Mass_Data[[#This Row],[Difference between MDL and GCM]]*(Mass_Data[[#This Row],[MDL axle group 5 mass]]/Mass_Data[[#This Row],[Total (1)]]))),"")</f>
        <v>20.511627906976745</v>
      </c>
      <c r="AH113" s="22">
        <f>IFERROR(IF(Mass_Data[[#This Row],[Check (1)]]="YES",Mass_Data[[#This Row],[MDL axle group 6 mass]],Mass_Data[[#This Row],[MDL axle group 6 mass]]-(Mass_Data[[#This Row],[Difference between MDL and GCM]]*(Mass_Data[[#This Row],[MDL axle group 6 mass]]/Mass_Data[[#This Row],[Total (1)]]))),"")</f>
        <v>20.511627906976745</v>
      </c>
      <c r="AI113" s="22" t="str">
        <f>IFERROR(IF(Mass_Data[[#This Row],[Check (1)]]="YES",Mass_Data[[#This Row],[MDL axle group 7 mass]],Mass_Data[[#This Row],[MDL axle group 7 mass]]-(Mass_Data[[#This Row],[Difference between MDL and GCM]]*(Mass_Data[[#This Row],[MDL axle group 7 mass]]/Mass_Data[[#This Row],[Total (1)]]))),"")</f>
        <v/>
      </c>
      <c r="AJ113" s="81">
        <f>SUM(Mass_Data[[#This Row],[Corrected axle group 1 mass]:[Corrected axle group 7 mass]])</f>
        <v>105</v>
      </c>
      <c r="AK113">
        <f>Mass_Data[[#This Row],[Total (2)]]-Mass_Data[[#This Row],[GCM (t)]]</f>
        <v>0</v>
      </c>
      <c r="AL113" s="22" t="str">
        <f>IF(Mass_Data[[#This Row],[Difference between MDL and corrected axle masses]]=0,"YES","NO")</f>
        <v>YES</v>
      </c>
    </row>
    <row r="114" spans="3:38" x14ac:dyDescent="0.35">
      <c r="C114" s="10" t="str">
        <f t="shared" si="1"/>
        <v>PBS - BA-triple (3-3-3-3) (HML): 3</v>
      </c>
      <c r="D114" s="10" t="s">
        <v>167</v>
      </c>
      <c r="E114" s="10" t="s">
        <v>147</v>
      </c>
      <c r="F114" s="10" t="s">
        <v>7</v>
      </c>
      <c r="G114" s="10" t="s">
        <v>5</v>
      </c>
      <c r="H114" t="s">
        <v>128</v>
      </c>
      <c r="I114" s="9">
        <v>110</v>
      </c>
      <c r="J114" s="14">
        <v>72.599606692246198</v>
      </c>
      <c r="K114" s="14">
        <f>Mass_Data[[#This Row],[GCM (t)]]-Mass_Data[[#This Row],[Payload (t)]]</f>
        <v>37.400393307753802</v>
      </c>
      <c r="L114" t="s">
        <v>8</v>
      </c>
      <c r="M114" t="s">
        <v>9</v>
      </c>
      <c r="N114" t="s">
        <v>10</v>
      </c>
      <c r="O114" t="s">
        <v>10</v>
      </c>
      <c r="P114" t="s">
        <v>10</v>
      </c>
      <c r="Q114" t="s">
        <v>10</v>
      </c>
      <c r="R114">
        <v>0</v>
      </c>
      <c r="S114" cm="1">
        <f t="array" ref="S114">_xlfn.XLOOKUP(Mass_Data[[#This Row],[axle group 1]]&amp;Mass_Data[[#This Row],[Mass Scheme]],Axle_Data[Axle Code]&amp;Axle_Data[Mass Scheme],Axle_Data[MDL Maximum Mass (t)],"",0)</f>
        <v>6.5</v>
      </c>
      <c r="T114" cm="1">
        <f t="array" ref="T114">_xlfn.XLOOKUP(Mass_Data[[#This Row],[axle group 2]]&amp;Mass_Data[[#This Row],[Mass Scheme]],Axle_Data[Axle Code]&amp;Axle_Data[Mass Scheme],Axle_Data[MDL Maximum Mass (t)],"",0)</f>
        <v>17</v>
      </c>
      <c r="U114" cm="1">
        <f t="array" ref="U114">_xlfn.XLOOKUP(Mass_Data[[#This Row],[axle group 3]]&amp;Mass_Data[[#This Row],[Mass Scheme]],Axle_Data[Axle Code]&amp;Axle_Data[Mass Scheme],Axle_Data[MDL Maximum Mass (t)],"",0)</f>
        <v>22.5</v>
      </c>
      <c r="V114" cm="1">
        <f t="array" ref="V114">_xlfn.XLOOKUP(Mass_Data[[#This Row],[axle group 4]]&amp;Mass_Data[[#This Row],[Mass Scheme]],Axle_Data[Axle Code]&amp;Axle_Data[Mass Scheme],Axle_Data[MDL Maximum Mass (t)],"",0)</f>
        <v>22.5</v>
      </c>
      <c r="W114" cm="1">
        <f t="array" ref="W114">_xlfn.XLOOKUP(Mass_Data[[#This Row],[axle group 5]]&amp;Mass_Data[[#This Row],[Mass Scheme]],Axle_Data[Axle Code]&amp;Axle_Data[Mass Scheme],Axle_Data[MDL Maximum Mass (t)],"",0)</f>
        <v>22.5</v>
      </c>
      <c r="X114" cm="1">
        <f t="array" ref="X114">_xlfn.XLOOKUP(Mass_Data[[#This Row],[axle group 6]]&amp;Mass_Data[[#This Row],[Mass Scheme]],Axle_Data[Axle Code]&amp;Axle_Data[Mass Scheme],Axle_Data[MDL Maximum Mass (t)],"",0)</f>
        <v>22.5</v>
      </c>
      <c r="Y114" t="str" cm="1">
        <f t="array" ref="Y114">_xlfn.XLOOKUP(Mass_Data[[#This Row],[axle group 7]]&amp;Mass_Data[[#This Row],[Mass Scheme]],Axle_Data[Axle Code]&amp;Axle_Data[Mass Scheme],Axle_Data[MDL Maximum Mass (t)],"",0)</f>
        <v/>
      </c>
      <c r="Z114" s="81">
        <f>SUM(Mass_Data[[#This Row],[MDL axle group 1 mass]:[MDL axle group 7 mass]])</f>
        <v>113.5</v>
      </c>
      <c r="AA114">
        <f>Mass_Data[[#This Row],[Total (1)]]-Mass_Data[[#This Row],[GCM (t)]]</f>
        <v>3.5</v>
      </c>
      <c r="AB114" t="str">
        <f>IF(Mass_Data[[#This Row],[Difference between MDL and GCM]]=0,"YES","NO")</f>
        <v>NO</v>
      </c>
      <c r="AC114" s="22">
        <f>IFERROR(IF(Mass_Data[[#This Row],[Check (1)]]="YES",Mass_Data[[#This Row],[MDL axle group 1 mass]],Mass_Data[[#This Row],[MDL axle group 1 mass]]-(Mass_Data[[#This Row],[Difference between MDL and GCM]]*(Mass_Data[[#This Row],[MDL axle group 1 mass]]/Mass_Data[[#This Row],[Total (1)]]))),"")</f>
        <v>6.2995594713656384</v>
      </c>
      <c r="AD114" s="22">
        <f>IFERROR(IF(Mass_Data[[#This Row],[Check (1)]]="YES",Mass_Data[[#This Row],[MDL axle group 2 mass]],Mass_Data[[#This Row],[MDL axle group 2 mass]]-(Mass_Data[[#This Row],[Difference between MDL and GCM]]*(Mass_Data[[#This Row],[MDL axle group 2 mass]]/Mass_Data[[#This Row],[Total (1)]]))),"")</f>
        <v>16.475770925110133</v>
      </c>
      <c r="AE114" s="22">
        <f>IFERROR(IF(Mass_Data[[#This Row],[Check (1)]]="YES",Mass_Data[[#This Row],[MDL axle group 3 mass]],Mass_Data[[#This Row],[MDL axle group 3 mass]]-(Mass_Data[[#This Row],[Difference between MDL and GCM]]*(Mass_Data[[#This Row],[MDL axle group 3 mass]]/Mass_Data[[#This Row],[Total (1)]]))),"")</f>
        <v>21.806167400881058</v>
      </c>
      <c r="AF114" s="22">
        <f>IFERROR(IF(Mass_Data[[#This Row],[Check (1)]]="YES",Mass_Data[[#This Row],[MDL axle group 4 mass]],Mass_Data[[#This Row],[MDL axle group 4 mass]]-(Mass_Data[[#This Row],[Difference between MDL and GCM]]*(Mass_Data[[#This Row],[MDL axle group 4 mass]]/Mass_Data[[#This Row],[Total (1)]]))),"")</f>
        <v>21.806167400881058</v>
      </c>
      <c r="AG114" s="22">
        <f>IFERROR(IF(Mass_Data[[#This Row],[Check (1)]]="YES",Mass_Data[[#This Row],[MDL axle group 5 mass]],Mass_Data[[#This Row],[MDL axle group 5 mass]]-(Mass_Data[[#This Row],[Difference between MDL and GCM]]*(Mass_Data[[#This Row],[MDL axle group 5 mass]]/Mass_Data[[#This Row],[Total (1)]]))),"")</f>
        <v>21.806167400881058</v>
      </c>
      <c r="AH114" s="22">
        <f>IFERROR(IF(Mass_Data[[#This Row],[Check (1)]]="YES",Mass_Data[[#This Row],[MDL axle group 6 mass]],Mass_Data[[#This Row],[MDL axle group 6 mass]]-(Mass_Data[[#This Row],[Difference between MDL and GCM]]*(Mass_Data[[#This Row],[MDL axle group 6 mass]]/Mass_Data[[#This Row],[Total (1)]]))),"")</f>
        <v>21.806167400881058</v>
      </c>
      <c r="AI114" s="22" t="str">
        <f>IFERROR(IF(Mass_Data[[#This Row],[Check (1)]]="YES",Mass_Data[[#This Row],[MDL axle group 7 mass]],Mass_Data[[#This Row],[MDL axle group 7 mass]]-(Mass_Data[[#This Row],[Difference between MDL and GCM]]*(Mass_Data[[#This Row],[MDL axle group 7 mass]]/Mass_Data[[#This Row],[Total (1)]]))),"")</f>
        <v/>
      </c>
      <c r="AJ114" s="81">
        <f>SUM(Mass_Data[[#This Row],[Corrected axle group 1 mass]:[Corrected axle group 7 mass]])</f>
        <v>110.00000000000003</v>
      </c>
      <c r="AK114">
        <f>Mass_Data[[#This Row],[Total (2)]]-Mass_Data[[#This Row],[GCM (t)]]</f>
        <v>0</v>
      </c>
      <c r="AL114" s="22" t="str">
        <f>IF(Mass_Data[[#This Row],[Difference between MDL and corrected axle masses]]=0,"YES","NO")</f>
        <v>YES</v>
      </c>
    </row>
    <row r="115" spans="3:38" x14ac:dyDescent="0.35">
      <c r="C115" s="10" t="str">
        <f t="shared" si="1"/>
        <v>PBS - AB-double (1-2-1) (GML): 1</v>
      </c>
      <c r="D115" s="10" t="s">
        <v>165</v>
      </c>
      <c r="E115" s="10" t="s">
        <v>147</v>
      </c>
      <c r="F115" s="10" t="s">
        <v>18</v>
      </c>
      <c r="G115" s="10" t="s">
        <v>3</v>
      </c>
      <c r="H115" t="s">
        <v>129</v>
      </c>
      <c r="I115" s="9">
        <v>50.5</v>
      </c>
      <c r="J115" s="14">
        <v>30.406050852823384</v>
      </c>
      <c r="K115" s="14">
        <f>Mass_Data[[#This Row],[GCM (t)]]-Mass_Data[[#This Row],[Payload (t)]]</f>
        <v>20.093949147176616</v>
      </c>
      <c r="L115" t="s">
        <v>8</v>
      </c>
      <c r="M115" t="s">
        <v>9</v>
      </c>
      <c r="N115" t="s">
        <v>24</v>
      </c>
      <c r="O115" t="s">
        <v>30</v>
      </c>
      <c r="P115" t="s">
        <v>24</v>
      </c>
      <c r="Q115">
        <v>0</v>
      </c>
      <c r="R115">
        <v>0</v>
      </c>
      <c r="S115" cm="1">
        <f t="array" ref="S115">_xlfn.XLOOKUP(Mass_Data[[#This Row],[axle group 1]]&amp;Mass_Data[[#This Row],[Mass Scheme]],Axle_Data[Axle Code]&amp;Axle_Data[Mass Scheme],Axle_Data[MDL Maximum Mass (t)],"",0)</f>
        <v>6.5</v>
      </c>
      <c r="T115" cm="1">
        <f t="array" ref="T115">_xlfn.XLOOKUP(Mass_Data[[#This Row],[axle group 2]]&amp;Mass_Data[[#This Row],[Mass Scheme]],Axle_Data[Axle Code]&amp;Axle_Data[Mass Scheme],Axle_Data[MDL Maximum Mass (t)],"",0)</f>
        <v>16.5</v>
      </c>
      <c r="U115" cm="1">
        <f t="array" ref="U115">_xlfn.XLOOKUP(Mass_Data[[#This Row],[axle group 3]]&amp;Mass_Data[[#This Row],[Mass Scheme]],Axle_Data[Axle Code]&amp;Axle_Data[Mass Scheme],Axle_Data[MDL Maximum Mass (t)],"",0)</f>
        <v>9</v>
      </c>
      <c r="V115" cm="1">
        <f t="array" ref="V115">_xlfn.XLOOKUP(Mass_Data[[#This Row],[axle group 4]]&amp;Mass_Data[[#This Row],[Mass Scheme]],Axle_Data[Axle Code]&amp;Axle_Data[Mass Scheme],Axle_Data[MDL Maximum Mass (t)],"",0)</f>
        <v>16.5</v>
      </c>
      <c r="W115" cm="1">
        <f t="array" ref="W115">_xlfn.XLOOKUP(Mass_Data[[#This Row],[axle group 5]]&amp;Mass_Data[[#This Row],[Mass Scheme]],Axle_Data[Axle Code]&amp;Axle_Data[Mass Scheme],Axle_Data[MDL Maximum Mass (t)],"",0)</f>
        <v>9</v>
      </c>
      <c r="X115" t="str" cm="1">
        <f t="array" ref="X115">_xlfn.XLOOKUP(Mass_Data[[#This Row],[axle group 6]]&amp;Mass_Data[[#This Row],[Mass Scheme]],Axle_Data[Axle Code]&amp;Axle_Data[Mass Scheme],Axle_Data[MDL Maximum Mass (t)],"",0)</f>
        <v/>
      </c>
      <c r="Y115" t="str" cm="1">
        <f t="array" ref="Y115">_xlfn.XLOOKUP(Mass_Data[[#This Row],[axle group 7]]&amp;Mass_Data[[#This Row],[Mass Scheme]],Axle_Data[Axle Code]&amp;Axle_Data[Mass Scheme],Axle_Data[MDL Maximum Mass (t)],"",0)</f>
        <v/>
      </c>
      <c r="Z115" s="81">
        <f>SUM(Mass_Data[[#This Row],[MDL axle group 1 mass]:[MDL axle group 7 mass]])</f>
        <v>57.5</v>
      </c>
      <c r="AA115">
        <f>Mass_Data[[#This Row],[Total (1)]]-Mass_Data[[#This Row],[GCM (t)]]</f>
        <v>7</v>
      </c>
      <c r="AB115" t="str">
        <f>IF(Mass_Data[[#This Row],[Difference between MDL and GCM]]=0,"YES","NO")</f>
        <v>NO</v>
      </c>
      <c r="AC115" s="22">
        <f>IFERROR(IF(Mass_Data[[#This Row],[Check (1)]]="YES",Mass_Data[[#This Row],[MDL axle group 1 mass]],Mass_Data[[#This Row],[MDL axle group 1 mass]]-(Mass_Data[[#This Row],[Difference between MDL and GCM]]*(Mass_Data[[#This Row],[MDL axle group 1 mass]]/Mass_Data[[#This Row],[Total (1)]]))),"")</f>
        <v>5.7086956521739127</v>
      </c>
      <c r="AD115" s="22">
        <f>IFERROR(IF(Mass_Data[[#This Row],[Check (1)]]="YES",Mass_Data[[#This Row],[MDL axle group 2 mass]],Mass_Data[[#This Row],[MDL axle group 2 mass]]-(Mass_Data[[#This Row],[Difference between MDL and GCM]]*(Mass_Data[[#This Row],[MDL axle group 2 mass]]/Mass_Data[[#This Row],[Total (1)]]))),"")</f>
        <v>14.491304347826087</v>
      </c>
      <c r="AE115" s="22">
        <f>IFERROR(IF(Mass_Data[[#This Row],[Check (1)]]="YES",Mass_Data[[#This Row],[MDL axle group 3 mass]],Mass_Data[[#This Row],[MDL axle group 3 mass]]-(Mass_Data[[#This Row],[Difference between MDL and GCM]]*(Mass_Data[[#This Row],[MDL axle group 3 mass]]/Mass_Data[[#This Row],[Total (1)]]))),"")</f>
        <v>7.9043478260869566</v>
      </c>
      <c r="AF115" s="22">
        <f>IFERROR(IF(Mass_Data[[#This Row],[Check (1)]]="YES",Mass_Data[[#This Row],[MDL axle group 4 mass]],Mass_Data[[#This Row],[MDL axle group 4 mass]]-(Mass_Data[[#This Row],[Difference between MDL and GCM]]*(Mass_Data[[#This Row],[MDL axle group 4 mass]]/Mass_Data[[#This Row],[Total (1)]]))),"")</f>
        <v>14.491304347826087</v>
      </c>
      <c r="AG115" s="22">
        <f>IFERROR(IF(Mass_Data[[#This Row],[Check (1)]]="YES",Mass_Data[[#This Row],[MDL axle group 5 mass]],Mass_Data[[#This Row],[MDL axle group 5 mass]]-(Mass_Data[[#This Row],[Difference between MDL and GCM]]*(Mass_Data[[#This Row],[MDL axle group 5 mass]]/Mass_Data[[#This Row],[Total (1)]]))),"")</f>
        <v>7.9043478260869566</v>
      </c>
      <c r="AH115" s="22" t="str">
        <f>IFERROR(IF(Mass_Data[[#This Row],[Check (1)]]="YES",Mass_Data[[#This Row],[MDL axle group 6 mass]],Mass_Data[[#This Row],[MDL axle group 6 mass]]-(Mass_Data[[#This Row],[Difference between MDL and GCM]]*(Mass_Data[[#This Row],[MDL axle group 6 mass]]/Mass_Data[[#This Row],[Total (1)]]))),"")</f>
        <v/>
      </c>
      <c r="AI115" s="22" t="str">
        <f>IFERROR(IF(Mass_Data[[#This Row],[Check (1)]]="YES",Mass_Data[[#This Row],[MDL axle group 7 mass]],Mass_Data[[#This Row],[MDL axle group 7 mass]]-(Mass_Data[[#This Row],[Difference between MDL and GCM]]*(Mass_Data[[#This Row],[MDL axle group 7 mass]]/Mass_Data[[#This Row],[Total (1)]]))),"")</f>
        <v/>
      </c>
      <c r="AJ115" s="81">
        <f>SUM(Mass_Data[[#This Row],[Corrected axle group 1 mass]:[Corrected axle group 7 mass]])</f>
        <v>50.5</v>
      </c>
      <c r="AK115">
        <f>Mass_Data[[#This Row],[Total (2)]]-Mass_Data[[#This Row],[GCM (t)]]</f>
        <v>0</v>
      </c>
      <c r="AL115" s="22" t="str">
        <f>IF(Mass_Data[[#This Row],[Difference between MDL and corrected axle masses]]=0,"YES","NO")</f>
        <v>YES</v>
      </c>
    </row>
    <row r="116" spans="3:38" x14ac:dyDescent="0.35">
      <c r="C116" s="10" t="str">
        <f t="shared" si="1"/>
        <v>PBS - AB-double (1-2-1) (GML): 2</v>
      </c>
      <c r="D116" s="10" t="s">
        <v>165</v>
      </c>
      <c r="E116" s="10" t="s">
        <v>147</v>
      </c>
      <c r="F116" s="10" t="s">
        <v>18</v>
      </c>
      <c r="G116" s="10" t="s">
        <v>4</v>
      </c>
      <c r="H116" t="s">
        <v>129</v>
      </c>
      <c r="I116" s="9">
        <v>59</v>
      </c>
      <c r="J116" s="14">
        <v>38.906050852823384</v>
      </c>
      <c r="K116" s="14">
        <f>Mass_Data[[#This Row],[GCM (t)]]-Mass_Data[[#This Row],[Payload (t)]]</f>
        <v>20.093949147176616</v>
      </c>
      <c r="L116" t="s">
        <v>8</v>
      </c>
      <c r="M116" t="s">
        <v>9</v>
      </c>
      <c r="N116" t="s">
        <v>24</v>
      </c>
      <c r="O116" t="s">
        <v>30</v>
      </c>
      <c r="P116" t="s">
        <v>24</v>
      </c>
      <c r="Q116">
        <v>0</v>
      </c>
      <c r="R116">
        <v>0</v>
      </c>
      <c r="S116" cm="1">
        <f t="array" ref="S116">_xlfn.XLOOKUP(Mass_Data[[#This Row],[axle group 1]]&amp;Mass_Data[[#This Row],[Mass Scheme]],Axle_Data[Axle Code]&amp;Axle_Data[Mass Scheme],Axle_Data[MDL Maximum Mass (t)],"",0)</f>
        <v>6.5</v>
      </c>
      <c r="T116" cm="1">
        <f t="array" ref="T116">_xlfn.XLOOKUP(Mass_Data[[#This Row],[axle group 2]]&amp;Mass_Data[[#This Row],[Mass Scheme]],Axle_Data[Axle Code]&amp;Axle_Data[Mass Scheme],Axle_Data[MDL Maximum Mass (t)],"",0)</f>
        <v>16.5</v>
      </c>
      <c r="U116" cm="1">
        <f t="array" ref="U116">_xlfn.XLOOKUP(Mass_Data[[#This Row],[axle group 3]]&amp;Mass_Data[[#This Row],[Mass Scheme]],Axle_Data[Axle Code]&amp;Axle_Data[Mass Scheme],Axle_Data[MDL Maximum Mass (t)],"",0)</f>
        <v>9</v>
      </c>
      <c r="V116" cm="1">
        <f t="array" ref="V116">_xlfn.XLOOKUP(Mass_Data[[#This Row],[axle group 4]]&amp;Mass_Data[[#This Row],[Mass Scheme]],Axle_Data[Axle Code]&amp;Axle_Data[Mass Scheme],Axle_Data[MDL Maximum Mass (t)],"",0)</f>
        <v>16.5</v>
      </c>
      <c r="W116" cm="1">
        <f t="array" ref="W116">_xlfn.XLOOKUP(Mass_Data[[#This Row],[axle group 5]]&amp;Mass_Data[[#This Row],[Mass Scheme]],Axle_Data[Axle Code]&amp;Axle_Data[Mass Scheme],Axle_Data[MDL Maximum Mass (t)],"",0)</f>
        <v>9</v>
      </c>
      <c r="X116" t="str" cm="1">
        <f t="array" ref="X116">_xlfn.XLOOKUP(Mass_Data[[#This Row],[axle group 6]]&amp;Mass_Data[[#This Row],[Mass Scheme]],Axle_Data[Axle Code]&amp;Axle_Data[Mass Scheme],Axle_Data[MDL Maximum Mass (t)],"",0)</f>
        <v/>
      </c>
      <c r="Y116" t="str" cm="1">
        <f t="array" ref="Y116">_xlfn.XLOOKUP(Mass_Data[[#This Row],[axle group 7]]&amp;Mass_Data[[#This Row],[Mass Scheme]],Axle_Data[Axle Code]&amp;Axle_Data[Mass Scheme],Axle_Data[MDL Maximum Mass (t)],"",0)</f>
        <v/>
      </c>
      <c r="Z116" s="81">
        <f>SUM(Mass_Data[[#This Row],[MDL axle group 1 mass]:[MDL axle group 7 mass]])</f>
        <v>57.5</v>
      </c>
      <c r="AA116">
        <f>Mass_Data[[#This Row],[Total (1)]]-Mass_Data[[#This Row],[GCM (t)]]</f>
        <v>-1.5</v>
      </c>
      <c r="AB116" t="str">
        <f>IF(Mass_Data[[#This Row],[Difference between MDL and GCM]]=0,"YES","NO")</f>
        <v>NO</v>
      </c>
      <c r="AC116" s="22">
        <f>IFERROR(IF(Mass_Data[[#This Row],[Check (1)]]="YES",Mass_Data[[#This Row],[MDL axle group 1 mass]],Mass_Data[[#This Row],[MDL axle group 1 mass]]-(Mass_Data[[#This Row],[Difference between MDL and GCM]]*(Mass_Data[[#This Row],[MDL axle group 1 mass]]/Mass_Data[[#This Row],[Total (1)]]))),"")</f>
        <v>6.6695652173913045</v>
      </c>
      <c r="AD116" s="22">
        <f>IFERROR(IF(Mass_Data[[#This Row],[Check (1)]]="YES",Mass_Data[[#This Row],[MDL axle group 2 mass]],Mass_Data[[#This Row],[MDL axle group 2 mass]]-(Mass_Data[[#This Row],[Difference between MDL and GCM]]*(Mass_Data[[#This Row],[MDL axle group 2 mass]]/Mass_Data[[#This Row],[Total (1)]]))),"")</f>
        <v>16.930434782608696</v>
      </c>
      <c r="AE116" s="22">
        <f>IFERROR(IF(Mass_Data[[#This Row],[Check (1)]]="YES",Mass_Data[[#This Row],[MDL axle group 3 mass]],Mass_Data[[#This Row],[MDL axle group 3 mass]]-(Mass_Data[[#This Row],[Difference between MDL and GCM]]*(Mass_Data[[#This Row],[MDL axle group 3 mass]]/Mass_Data[[#This Row],[Total (1)]]))),"")</f>
        <v>9.234782608695653</v>
      </c>
      <c r="AF116" s="22">
        <f>IFERROR(IF(Mass_Data[[#This Row],[Check (1)]]="YES",Mass_Data[[#This Row],[MDL axle group 4 mass]],Mass_Data[[#This Row],[MDL axle group 4 mass]]-(Mass_Data[[#This Row],[Difference between MDL and GCM]]*(Mass_Data[[#This Row],[MDL axle group 4 mass]]/Mass_Data[[#This Row],[Total (1)]]))),"")</f>
        <v>16.930434782608696</v>
      </c>
      <c r="AG116" s="22">
        <f>IFERROR(IF(Mass_Data[[#This Row],[Check (1)]]="YES",Mass_Data[[#This Row],[MDL axle group 5 mass]],Mass_Data[[#This Row],[MDL axle group 5 mass]]-(Mass_Data[[#This Row],[Difference between MDL and GCM]]*(Mass_Data[[#This Row],[MDL axle group 5 mass]]/Mass_Data[[#This Row],[Total (1)]]))),"")</f>
        <v>9.234782608695653</v>
      </c>
      <c r="AH116" s="22" t="str">
        <f>IFERROR(IF(Mass_Data[[#This Row],[Check (1)]]="YES",Mass_Data[[#This Row],[MDL axle group 6 mass]],Mass_Data[[#This Row],[MDL axle group 6 mass]]-(Mass_Data[[#This Row],[Difference between MDL and GCM]]*(Mass_Data[[#This Row],[MDL axle group 6 mass]]/Mass_Data[[#This Row],[Total (1)]]))),"")</f>
        <v/>
      </c>
      <c r="AI116" s="22" t="str">
        <f>IFERROR(IF(Mass_Data[[#This Row],[Check (1)]]="YES",Mass_Data[[#This Row],[MDL axle group 7 mass]],Mass_Data[[#This Row],[MDL axle group 7 mass]]-(Mass_Data[[#This Row],[Difference between MDL and GCM]]*(Mass_Data[[#This Row],[MDL axle group 7 mass]]/Mass_Data[[#This Row],[Total (1)]]))),"")</f>
        <v/>
      </c>
      <c r="AJ116" s="81">
        <f>SUM(Mass_Data[[#This Row],[Corrected axle group 1 mass]:[Corrected axle group 7 mass]])</f>
        <v>59</v>
      </c>
      <c r="AK116">
        <f>Mass_Data[[#This Row],[Total (2)]]-Mass_Data[[#This Row],[GCM (t)]]</f>
        <v>0</v>
      </c>
      <c r="AL116" s="22" t="str">
        <f>IF(Mass_Data[[#This Row],[Difference between MDL and corrected axle masses]]=0,"YES","NO")</f>
        <v>YES</v>
      </c>
    </row>
    <row r="117" spans="3:38" x14ac:dyDescent="0.35">
      <c r="C117" s="10" t="str">
        <f t="shared" si="1"/>
        <v>PBS - AB-double (1-2-1) (CML): 2</v>
      </c>
      <c r="D117" s="10" t="s">
        <v>165</v>
      </c>
      <c r="E117" s="10" t="s">
        <v>147</v>
      </c>
      <c r="F117" s="10" t="s">
        <v>20</v>
      </c>
      <c r="G117" s="10" t="s">
        <v>4</v>
      </c>
      <c r="H117" t="s">
        <v>129</v>
      </c>
      <c r="I117" s="9">
        <v>59.5</v>
      </c>
      <c r="J117" s="14">
        <v>39.406050852823384</v>
      </c>
      <c r="K117" s="14">
        <f>Mass_Data[[#This Row],[GCM (t)]]-Mass_Data[[#This Row],[Payload (t)]]</f>
        <v>20.093949147176616</v>
      </c>
      <c r="L117" t="s">
        <v>8</v>
      </c>
      <c r="M117" t="s">
        <v>9</v>
      </c>
      <c r="N117" t="s">
        <v>24</v>
      </c>
      <c r="O117" t="s">
        <v>30</v>
      </c>
      <c r="P117" t="s">
        <v>24</v>
      </c>
      <c r="Q117">
        <v>0</v>
      </c>
      <c r="R117">
        <v>0</v>
      </c>
      <c r="S117" cm="1">
        <f t="array" ref="S117">_xlfn.XLOOKUP(Mass_Data[[#This Row],[axle group 1]]&amp;Mass_Data[[#This Row],[Mass Scheme]],Axle_Data[Axle Code]&amp;Axle_Data[Mass Scheme],Axle_Data[MDL Maximum Mass (t)],"",0)</f>
        <v>6.5</v>
      </c>
      <c r="T117" cm="1">
        <f t="array" ref="T117">_xlfn.XLOOKUP(Mass_Data[[#This Row],[axle group 2]]&amp;Mass_Data[[#This Row],[Mass Scheme]],Axle_Data[Axle Code]&amp;Axle_Data[Mass Scheme],Axle_Data[MDL Maximum Mass (t)],"",0)</f>
        <v>17</v>
      </c>
      <c r="U117" cm="1">
        <f t="array" ref="U117">_xlfn.XLOOKUP(Mass_Data[[#This Row],[axle group 3]]&amp;Mass_Data[[#This Row],[Mass Scheme]],Axle_Data[Axle Code]&amp;Axle_Data[Mass Scheme],Axle_Data[MDL Maximum Mass (t)],"",0)</f>
        <v>9</v>
      </c>
      <c r="V117" cm="1">
        <f t="array" ref="V117">_xlfn.XLOOKUP(Mass_Data[[#This Row],[axle group 4]]&amp;Mass_Data[[#This Row],[Mass Scheme]],Axle_Data[Axle Code]&amp;Axle_Data[Mass Scheme],Axle_Data[MDL Maximum Mass (t)],"",0)</f>
        <v>17</v>
      </c>
      <c r="W117" cm="1">
        <f t="array" ref="W117">_xlfn.XLOOKUP(Mass_Data[[#This Row],[axle group 5]]&amp;Mass_Data[[#This Row],[Mass Scheme]],Axle_Data[Axle Code]&amp;Axle_Data[Mass Scheme],Axle_Data[MDL Maximum Mass (t)],"",0)</f>
        <v>9</v>
      </c>
      <c r="X117" t="str" cm="1">
        <f t="array" ref="X117">_xlfn.XLOOKUP(Mass_Data[[#This Row],[axle group 6]]&amp;Mass_Data[[#This Row],[Mass Scheme]],Axle_Data[Axle Code]&amp;Axle_Data[Mass Scheme],Axle_Data[MDL Maximum Mass (t)],"",0)</f>
        <v/>
      </c>
      <c r="Y117" t="str" cm="1">
        <f t="array" ref="Y117">_xlfn.XLOOKUP(Mass_Data[[#This Row],[axle group 7]]&amp;Mass_Data[[#This Row],[Mass Scheme]],Axle_Data[Axle Code]&amp;Axle_Data[Mass Scheme],Axle_Data[MDL Maximum Mass (t)],"",0)</f>
        <v/>
      </c>
      <c r="Z117" s="81">
        <f>SUM(Mass_Data[[#This Row],[MDL axle group 1 mass]:[MDL axle group 7 mass]])</f>
        <v>58.5</v>
      </c>
      <c r="AA117">
        <f>Mass_Data[[#This Row],[Total (1)]]-Mass_Data[[#This Row],[GCM (t)]]</f>
        <v>-1</v>
      </c>
      <c r="AB117" t="str">
        <f>IF(Mass_Data[[#This Row],[Difference between MDL and GCM]]=0,"YES","NO")</f>
        <v>NO</v>
      </c>
      <c r="AC117" s="22">
        <f>IFERROR(IF(Mass_Data[[#This Row],[Check (1)]]="YES",Mass_Data[[#This Row],[MDL axle group 1 mass]],Mass_Data[[#This Row],[MDL axle group 1 mass]]-(Mass_Data[[#This Row],[Difference between MDL and GCM]]*(Mass_Data[[#This Row],[MDL axle group 1 mass]]/Mass_Data[[#This Row],[Total (1)]]))),"")</f>
        <v>6.6111111111111107</v>
      </c>
      <c r="AD117" s="22">
        <f>IFERROR(IF(Mass_Data[[#This Row],[Check (1)]]="YES",Mass_Data[[#This Row],[MDL axle group 2 mass]],Mass_Data[[#This Row],[MDL axle group 2 mass]]-(Mass_Data[[#This Row],[Difference between MDL and GCM]]*(Mass_Data[[#This Row],[MDL axle group 2 mass]]/Mass_Data[[#This Row],[Total (1)]]))),"")</f>
        <v>17.29059829059829</v>
      </c>
      <c r="AE117" s="22">
        <f>IFERROR(IF(Mass_Data[[#This Row],[Check (1)]]="YES",Mass_Data[[#This Row],[MDL axle group 3 mass]],Mass_Data[[#This Row],[MDL axle group 3 mass]]-(Mass_Data[[#This Row],[Difference between MDL and GCM]]*(Mass_Data[[#This Row],[MDL axle group 3 mass]]/Mass_Data[[#This Row],[Total (1)]]))),"")</f>
        <v>9.1538461538461533</v>
      </c>
      <c r="AF117" s="22">
        <f>IFERROR(IF(Mass_Data[[#This Row],[Check (1)]]="YES",Mass_Data[[#This Row],[MDL axle group 4 mass]],Mass_Data[[#This Row],[MDL axle group 4 mass]]-(Mass_Data[[#This Row],[Difference between MDL and GCM]]*(Mass_Data[[#This Row],[MDL axle group 4 mass]]/Mass_Data[[#This Row],[Total (1)]]))),"")</f>
        <v>17.29059829059829</v>
      </c>
      <c r="AG117" s="22">
        <f>IFERROR(IF(Mass_Data[[#This Row],[Check (1)]]="YES",Mass_Data[[#This Row],[MDL axle group 5 mass]],Mass_Data[[#This Row],[MDL axle group 5 mass]]-(Mass_Data[[#This Row],[Difference between MDL and GCM]]*(Mass_Data[[#This Row],[MDL axle group 5 mass]]/Mass_Data[[#This Row],[Total (1)]]))),"")</f>
        <v>9.1538461538461533</v>
      </c>
      <c r="AH117" s="22" t="str">
        <f>IFERROR(IF(Mass_Data[[#This Row],[Check (1)]]="YES",Mass_Data[[#This Row],[MDL axle group 6 mass]],Mass_Data[[#This Row],[MDL axle group 6 mass]]-(Mass_Data[[#This Row],[Difference between MDL and GCM]]*(Mass_Data[[#This Row],[MDL axle group 6 mass]]/Mass_Data[[#This Row],[Total (1)]]))),"")</f>
        <v/>
      </c>
      <c r="AI117" s="22" t="str">
        <f>IFERROR(IF(Mass_Data[[#This Row],[Check (1)]]="YES",Mass_Data[[#This Row],[MDL axle group 7 mass]],Mass_Data[[#This Row],[MDL axle group 7 mass]]-(Mass_Data[[#This Row],[Difference between MDL and GCM]]*(Mass_Data[[#This Row],[MDL axle group 7 mass]]/Mass_Data[[#This Row],[Total (1)]]))),"")</f>
        <v/>
      </c>
      <c r="AJ117" s="81">
        <f>SUM(Mass_Data[[#This Row],[Corrected axle group 1 mass]:[Corrected axle group 7 mass]])</f>
        <v>59.5</v>
      </c>
      <c r="AK117">
        <f>Mass_Data[[#This Row],[Total (2)]]-Mass_Data[[#This Row],[GCM (t)]]</f>
        <v>0</v>
      </c>
      <c r="AL117" s="22" t="str">
        <f>IF(Mass_Data[[#This Row],[Difference between MDL and corrected axle masses]]=0,"YES","NO")</f>
        <v>YES</v>
      </c>
    </row>
    <row r="118" spans="3:38" x14ac:dyDescent="0.35">
      <c r="C118" s="10" t="str">
        <f t="shared" si="1"/>
        <v>PBS - AB-double (1-2-1) (HML): 2</v>
      </c>
      <c r="D118" s="10" t="s">
        <v>165</v>
      </c>
      <c r="E118" s="10" t="s">
        <v>147</v>
      </c>
      <c r="F118" s="10" t="s">
        <v>7</v>
      </c>
      <c r="G118" s="10" t="s">
        <v>4</v>
      </c>
      <c r="H118" t="s">
        <v>129</v>
      </c>
      <c r="I118" s="9">
        <v>59.5</v>
      </c>
      <c r="J118" s="14">
        <v>39.406050852823384</v>
      </c>
      <c r="K118" s="14">
        <f>Mass_Data[[#This Row],[GCM (t)]]-Mass_Data[[#This Row],[Payload (t)]]</f>
        <v>20.093949147176616</v>
      </c>
      <c r="L118" t="s">
        <v>8</v>
      </c>
      <c r="M118" t="s">
        <v>9</v>
      </c>
      <c r="N118" t="s">
        <v>24</v>
      </c>
      <c r="O118" t="s">
        <v>30</v>
      </c>
      <c r="P118" t="s">
        <v>24</v>
      </c>
      <c r="Q118">
        <v>0</v>
      </c>
      <c r="R118">
        <v>0</v>
      </c>
      <c r="S118" cm="1">
        <f t="array" ref="S118">_xlfn.XLOOKUP(Mass_Data[[#This Row],[axle group 1]]&amp;Mass_Data[[#This Row],[Mass Scheme]],Axle_Data[Axle Code]&amp;Axle_Data[Mass Scheme],Axle_Data[MDL Maximum Mass (t)],"",0)</f>
        <v>6.5</v>
      </c>
      <c r="T118" cm="1">
        <f t="array" ref="T118">_xlfn.XLOOKUP(Mass_Data[[#This Row],[axle group 2]]&amp;Mass_Data[[#This Row],[Mass Scheme]],Axle_Data[Axle Code]&amp;Axle_Data[Mass Scheme],Axle_Data[MDL Maximum Mass (t)],"",0)</f>
        <v>17</v>
      </c>
      <c r="U118" cm="1">
        <f t="array" ref="U118">_xlfn.XLOOKUP(Mass_Data[[#This Row],[axle group 3]]&amp;Mass_Data[[#This Row],[Mass Scheme]],Axle_Data[Axle Code]&amp;Axle_Data[Mass Scheme],Axle_Data[MDL Maximum Mass (t)],"",0)</f>
        <v>9</v>
      </c>
      <c r="V118" cm="1">
        <f t="array" ref="V118">_xlfn.XLOOKUP(Mass_Data[[#This Row],[axle group 4]]&amp;Mass_Data[[#This Row],[Mass Scheme]],Axle_Data[Axle Code]&amp;Axle_Data[Mass Scheme],Axle_Data[MDL Maximum Mass (t)],"",0)</f>
        <v>17</v>
      </c>
      <c r="W118" cm="1">
        <f t="array" ref="W118">_xlfn.XLOOKUP(Mass_Data[[#This Row],[axle group 5]]&amp;Mass_Data[[#This Row],[Mass Scheme]],Axle_Data[Axle Code]&amp;Axle_Data[Mass Scheme],Axle_Data[MDL Maximum Mass (t)],"",0)</f>
        <v>9</v>
      </c>
      <c r="X118" t="str" cm="1">
        <f t="array" ref="X118">_xlfn.XLOOKUP(Mass_Data[[#This Row],[axle group 6]]&amp;Mass_Data[[#This Row],[Mass Scheme]],Axle_Data[Axle Code]&amp;Axle_Data[Mass Scheme],Axle_Data[MDL Maximum Mass (t)],"",0)</f>
        <v/>
      </c>
      <c r="Y118" t="str" cm="1">
        <f t="array" ref="Y118">_xlfn.XLOOKUP(Mass_Data[[#This Row],[axle group 7]]&amp;Mass_Data[[#This Row],[Mass Scheme]],Axle_Data[Axle Code]&amp;Axle_Data[Mass Scheme],Axle_Data[MDL Maximum Mass (t)],"",0)</f>
        <v/>
      </c>
      <c r="Z118" s="81">
        <f>SUM(Mass_Data[[#This Row],[MDL axle group 1 mass]:[MDL axle group 7 mass]])</f>
        <v>58.5</v>
      </c>
      <c r="AA118">
        <f>Mass_Data[[#This Row],[Total (1)]]-Mass_Data[[#This Row],[GCM (t)]]</f>
        <v>-1</v>
      </c>
      <c r="AB118" t="str">
        <f>IF(Mass_Data[[#This Row],[Difference between MDL and GCM]]=0,"YES","NO")</f>
        <v>NO</v>
      </c>
      <c r="AC118" s="22">
        <f>IFERROR(IF(Mass_Data[[#This Row],[Check (1)]]="YES",Mass_Data[[#This Row],[MDL axle group 1 mass]],Mass_Data[[#This Row],[MDL axle group 1 mass]]-(Mass_Data[[#This Row],[Difference between MDL and GCM]]*(Mass_Data[[#This Row],[MDL axle group 1 mass]]/Mass_Data[[#This Row],[Total (1)]]))),"")</f>
        <v>6.6111111111111107</v>
      </c>
      <c r="AD118" s="22">
        <f>IFERROR(IF(Mass_Data[[#This Row],[Check (1)]]="YES",Mass_Data[[#This Row],[MDL axle group 2 mass]],Mass_Data[[#This Row],[MDL axle group 2 mass]]-(Mass_Data[[#This Row],[Difference between MDL and GCM]]*(Mass_Data[[#This Row],[MDL axle group 2 mass]]/Mass_Data[[#This Row],[Total (1)]]))),"")</f>
        <v>17.29059829059829</v>
      </c>
      <c r="AE118" s="22">
        <f>IFERROR(IF(Mass_Data[[#This Row],[Check (1)]]="YES",Mass_Data[[#This Row],[MDL axle group 3 mass]],Mass_Data[[#This Row],[MDL axle group 3 mass]]-(Mass_Data[[#This Row],[Difference between MDL and GCM]]*(Mass_Data[[#This Row],[MDL axle group 3 mass]]/Mass_Data[[#This Row],[Total (1)]]))),"")</f>
        <v>9.1538461538461533</v>
      </c>
      <c r="AF118" s="22">
        <f>IFERROR(IF(Mass_Data[[#This Row],[Check (1)]]="YES",Mass_Data[[#This Row],[MDL axle group 4 mass]],Mass_Data[[#This Row],[MDL axle group 4 mass]]-(Mass_Data[[#This Row],[Difference between MDL and GCM]]*(Mass_Data[[#This Row],[MDL axle group 4 mass]]/Mass_Data[[#This Row],[Total (1)]]))),"")</f>
        <v>17.29059829059829</v>
      </c>
      <c r="AG118" s="22">
        <f>IFERROR(IF(Mass_Data[[#This Row],[Check (1)]]="YES",Mass_Data[[#This Row],[MDL axle group 5 mass]],Mass_Data[[#This Row],[MDL axle group 5 mass]]-(Mass_Data[[#This Row],[Difference between MDL and GCM]]*(Mass_Data[[#This Row],[MDL axle group 5 mass]]/Mass_Data[[#This Row],[Total (1)]]))),"")</f>
        <v>9.1538461538461533</v>
      </c>
      <c r="AH118" s="22" t="str">
        <f>IFERROR(IF(Mass_Data[[#This Row],[Check (1)]]="YES",Mass_Data[[#This Row],[MDL axle group 6 mass]],Mass_Data[[#This Row],[MDL axle group 6 mass]]-(Mass_Data[[#This Row],[Difference between MDL and GCM]]*(Mass_Data[[#This Row],[MDL axle group 6 mass]]/Mass_Data[[#This Row],[Total (1)]]))),"")</f>
        <v/>
      </c>
      <c r="AI118" s="22" t="str">
        <f>IFERROR(IF(Mass_Data[[#This Row],[Check (1)]]="YES",Mass_Data[[#This Row],[MDL axle group 7 mass]],Mass_Data[[#This Row],[MDL axle group 7 mass]]-(Mass_Data[[#This Row],[Difference between MDL and GCM]]*(Mass_Data[[#This Row],[MDL axle group 7 mass]]/Mass_Data[[#This Row],[Total (1)]]))),"")</f>
        <v/>
      </c>
      <c r="AJ118" s="81">
        <f>SUM(Mass_Data[[#This Row],[Corrected axle group 1 mass]:[Corrected axle group 7 mass]])</f>
        <v>59.5</v>
      </c>
      <c r="AK118">
        <f>Mass_Data[[#This Row],[Total (2)]]-Mass_Data[[#This Row],[GCM (t)]]</f>
        <v>0</v>
      </c>
      <c r="AL118" s="22" t="str">
        <f>IF(Mass_Data[[#This Row],[Difference between MDL and corrected axle masses]]=0,"YES","NO")</f>
        <v>YES</v>
      </c>
    </row>
    <row r="119" spans="3:38" x14ac:dyDescent="0.35">
      <c r="C119" s="10" t="str">
        <f t="shared" si="1"/>
        <v>PBS - 3-axle truck and 2-axle pig trailer (GML): 1</v>
      </c>
      <c r="D119" s="10" t="s">
        <v>163</v>
      </c>
      <c r="E119" s="10" t="s">
        <v>147</v>
      </c>
      <c r="F119" s="10" t="s">
        <v>18</v>
      </c>
      <c r="G119" s="10" t="s">
        <v>3</v>
      </c>
      <c r="H119" t="s">
        <v>130</v>
      </c>
      <c r="I119" s="9">
        <v>38</v>
      </c>
      <c r="J119" s="14">
        <v>21.766102339181288</v>
      </c>
      <c r="K119" s="14">
        <f>Mass_Data[[#This Row],[GCM (t)]]-Mass_Data[[#This Row],[Payload (t)]]</f>
        <v>16.233897660818712</v>
      </c>
      <c r="L119" t="s">
        <v>8</v>
      </c>
      <c r="M119" t="s">
        <v>9</v>
      </c>
      <c r="N119" t="s">
        <v>44</v>
      </c>
      <c r="O119">
        <v>0</v>
      </c>
      <c r="P119">
        <v>0</v>
      </c>
      <c r="Q119">
        <v>0</v>
      </c>
      <c r="R119">
        <v>0</v>
      </c>
      <c r="S119" cm="1">
        <f t="array" ref="S119">_xlfn.XLOOKUP(Mass_Data[[#This Row],[axle group 1]]&amp;Mass_Data[[#This Row],[Mass Scheme]],Axle_Data[Axle Code]&amp;Axle_Data[Mass Scheme],Axle_Data[MDL Maximum Mass (t)],"",0)</f>
        <v>6.5</v>
      </c>
      <c r="T119" cm="1">
        <f t="array" ref="T119">_xlfn.XLOOKUP(Mass_Data[[#This Row],[axle group 2]]&amp;Mass_Data[[#This Row],[Mass Scheme]],Axle_Data[Axle Code]&amp;Axle_Data[Mass Scheme],Axle_Data[MDL Maximum Mass (t)],"",0)</f>
        <v>16.5</v>
      </c>
      <c r="U119" cm="1">
        <f t="array" ref="U119">_xlfn.XLOOKUP(Mass_Data[[#This Row],[axle group 3]]&amp;Mass_Data[[#This Row],[Mass Scheme]],Axle_Data[Axle Code]&amp;Axle_Data[Mass Scheme],Axle_Data[MDL Maximum Mass (t)],"",0)</f>
        <v>15</v>
      </c>
      <c r="V119" t="str" cm="1">
        <f t="array" ref="V119">_xlfn.XLOOKUP(Mass_Data[[#This Row],[axle group 4]]&amp;Mass_Data[[#This Row],[Mass Scheme]],Axle_Data[Axle Code]&amp;Axle_Data[Mass Scheme],Axle_Data[MDL Maximum Mass (t)],"",0)</f>
        <v/>
      </c>
      <c r="W119" t="str" cm="1">
        <f t="array" ref="W119">_xlfn.XLOOKUP(Mass_Data[[#This Row],[axle group 5]]&amp;Mass_Data[[#This Row],[Mass Scheme]],Axle_Data[Axle Code]&amp;Axle_Data[Mass Scheme],Axle_Data[MDL Maximum Mass (t)],"",0)</f>
        <v/>
      </c>
      <c r="X119" t="str" cm="1">
        <f t="array" ref="X119">_xlfn.XLOOKUP(Mass_Data[[#This Row],[axle group 6]]&amp;Mass_Data[[#This Row],[Mass Scheme]],Axle_Data[Axle Code]&amp;Axle_Data[Mass Scheme],Axle_Data[MDL Maximum Mass (t)],"",0)</f>
        <v/>
      </c>
      <c r="Y119" t="str" cm="1">
        <f t="array" ref="Y119">_xlfn.XLOOKUP(Mass_Data[[#This Row],[axle group 7]]&amp;Mass_Data[[#This Row],[Mass Scheme]],Axle_Data[Axle Code]&amp;Axle_Data[Mass Scheme],Axle_Data[MDL Maximum Mass (t)],"",0)</f>
        <v/>
      </c>
      <c r="Z119" s="81">
        <f>SUM(Mass_Data[[#This Row],[MDL axle group 1 mass]:[MDL axle group 7 mass]])</f>
        <v>38</v>
      </c>
      <c r="AA119">
        <f>Mass_Data[[#This Row],[Total (1)]]-Mass_Data[[#This Row],[GCM (t)]]</f>
        <v>0</v>
      </c>
      <c r="AB119" t="str">
        <f>IF(Mass_Data[[#This Row],[Difference between MDL and GCM]]=0,"YES","NO")</f>
        <v>YES</v>
      </c>
      <c r="AC119" s="22">
        <f>IFERROR(IF(Mass_Data[[#This Row],[Check (1)]]="YES",Mass_Data[[#This Row],[MDL axle group 1 mass]],Mass_Data[[#This Row],[MDL axle group 1 mass]]-(Mass_Data[[#This Row],[Difference between MDL and GCM]]*(Mass_Data[[#This Row],[MDL axle group 1 mass]]/Mass_Data[[#This Row],[Total (1)]]))),"")</f>
        <v>6.5</v>
      </c>
      <c r="AD119" s="22">
        <f>IFERROR(IF(Mass_Data[[#This Row],[Check (1)]]="YES",Mass_Data[[#This Row],[MDL axle group 2 mass]],Mass_Data[[#This Row],[MDL axle group 2 mass]]-(Mass_Data[[#This Row],[Difference between MDL and GCM]]*(Mass_Data[[#This Row],[MDL axle group 2 mass]]/Mass_Data[[#This Row],[Total (1)]]))),"")</f>
        <v>16.5</v>
      </c>
      <c r="AE119" s="22">
        <f>IFERROR(IF(Mass_Data[[#This Row],[Check (1)]]="YES",Mass_Data[[#This Row],[MDL axle group 3 mass]],Mass_Data[[#This Row],[MDL axle group 3 mass]]-(Mass_Data[[#This Row],[Difference between MDL and GCM]]*(Mass_Data[[#This Row],[MDL axle group 3 mass]]/Mass_Data[[#This Row],[Total (1)]]))),"")</f>
        <v>15</v>
      </c>
      <c r="AF119" s="22" t="str">
        <f>IFERROR(IF(Mass_Data[[#This Row],[Check (1)]]="YES",Mass_Data[[#This Row],[MDL axle group 4 mass]],Mass_Data[[#This Row],[MDL axle group 4 mass]]-(Mass_Data[[#This Row],[Difference between MDL and GCM]]*(Mass_Data[[#This Row],[MDL axle group 4 mass]]/Mass_Data[[#This Row],[Total (1)]]))),"")</f>
        <v/>
      </c>
      <c r="AG119" s="22" t="str">
        <f>IFERROR(IF(Mass_Data[[#This Row],[Check (1)]]="YES",Mass_Data[[#This Row],[MDL axle group 5 mass]],Mass_Data[[#This Row],[MDL axle group 5 mass]]-(Mass_Data[[#This Row],[Difference between MDL and GCM]]*(Mass_Data[[#This Row],[MDL axle group 5 mass]]/Mass_Data[[#This Row],[Total (1)]]))),"")</f>
        <v/>
      </c>
      <c r="AH119" s="22" t="str">
        <f>IFERROR(IF(Mass_Data[[#This Row],[Check (1)]]="YES",Mass_Data[[#This Row],[MDL axle group 6 mass]],Mass_Data[[#This Row],[MDL axle group 6 mass]]-(Mass_Data[[#This Row],[Difference between MDL and GCM]]*(Mass_Data[[#This Row],[MDL axle group 6 mass]]/Mass_Data[[#This Row],[Total (1)]]))),"")</f>
        <v/>
      </c>
      <c r="AI119" s="22" t="str">
        <f>IFERROR(IF(Mass_Data[[#This Row],[Check (1)]]="YES",Mass_Data[[#This Row],[MDL axle group 7 mass]],Mass_Data[[#This Row],[MDL axle group 7 mass]]-(Mass_Data[[#This Row],[Difference between MDL and GCM]]*(Mass_Data[[#This Row],[MDL axle group 7 mass]]/Mass_Data[[#This Row],[Total (1)]]))),"")</f>
        <v/>
      </c>
      <c r="AJ119" s="81">
        <f>SUM(Mass_Data[[#This Row],[Corrected axle group 1 mass]:[Corrected axle group 7 mass]])</f>
        <v>38</v>
      </c>
      <c r="AK119">
        <f>Mass_Data[[#This Row],[Total (2)]]-Mass_Data[[#This Row],[GCM (t)]]</f>
        <v>0</v>
      </c>
      <c r="AL119" s="22" t="str">
        <f>IF(Mass_Data[[#This Row],[Difference between MDL and corrected axle masses]]=0,"YES","NO")</f>
        <v>YES</v>
      </c>
    </row>
    <row r="120" spans="3:38" x14ac:dyDescent="0.35">
      <c r="C120" s="10" t="str">
        <f t="shared" si="1"/>
        <v>PBS - 3-axle truck and 2-axle pig trailer (CML): 1</v>
      </c>
      <c r="D120" s="10" t="s">
        <v>163</v>
      </c>
      <c r="E120" s="10" t="s">
        <v>147</v>
      </c>
      <c r="F120" s="10" t="s">
        <v>20</v>
      </c>
      <c r="G120" s="10" t="s">
        <v>3</v>
      </c>
      <c r="H120" t="s">
        <v>130</v>
      </c>
      <c r="I120" s="9">
        <v>38.5</v>
      </c>
      <c r="J120" s="14">
        <v>22.266102339181288</v>
      </c>
      <c r="K120" s="14">
        <f>Mass_Data[[#This Row],[GCM (t)]]-Mass_Data[[#This Row],[Payload (t)]]</f>
        <v>16.233897660818712</v>
      </c>
      <c r="L120" t="s">
        <v>8</v>
      </c>
      <c r="M120" t="s">
        <v>9</v>
      </c>
      <c r="N120" t="s">
        <v>44</v>
      </c>
      <c r="O120">
        <v>0</v>
      </c>
      <c r="P120">
        <v>0</v>
      </c>
      <c r="Q120">
        <v>0</v>
      </c>
      <c r="R120">
        <v>0</v>
      </c>
      <c r="S120" cm="1">
        <f t="array" ref="S120">_xlfn.XLOOKUP(Mass_Data[[#This Row],[axle group 1]]&amp;Mass_Data[[#This Row],[Mass Scheme]],Axle_Data[Axle Code]&amp;Axle_Data[Mass Scheme],Axle_Data[MDL Maximum Mass (t)],"",0)</f>
        <v>6.5</v>
      </c>
      <c r="T120" cm="1">
        <f t="array" ref="T120">_xlfn.XLOOKUP(Mass_Data[[#This Row],[axle group 2]]&amp;Mass_Data[[#This Row],[Mass Scheme]],Axle_Data[Axle Code]&amp;Axle_Data[Mass Scheme],Axle_Data[MDL Maximum Mass (t)],"",0)</f>
        <v>17</v>
      </c>
      <c r="U120" cm="1">
        <f t="array" ref="U120">_xlfn.XLOOKUP(Mass_Data[[#This Row],[axle group 3]]&amp;Mass_Data[[#This Row],[Mass Scheme]],Axle_Data[Axle Code]&amp;Axle_Data[Mass Scheme],Axle_Data[MDL Maximum Mass (t)],"",0)</f>
        <v>15</v>
      </c>
      <c r="V120" t="str" cm="1">
        <f t="array" ref="V120">_xlfn.XLOOKUP(Mass_Data[[#This Row],[axle group 4]]&amp;Mass_Data[[#This Row],[Mass Scheme]],Axle_Data[Axle Code]&amp;Axle_Data[Mass Scheme],Axle_Data[MDL Maximum Mass (t)],"",0)</f>
        <v/>
      </c>
      <c r="W120" t="str" cm="1">
        <f t="array" ref="W120">_xlfn.XLOOKUP(Mass_Data[[#This Row],[axle group 5]]&amp;Mass_Data[[#This Row],[Mass Scheme]],Axle_Data[Axle Code]&amp;Axle_Data[Mass Scheme],Axle_Data[MDL Maximum Mass (t)],"",0)</f>
        <v/>
      </c>
      <c r="X120" t="str" cm="1">
        <f t="array" ref="X120">_xlfn.XLOOKUP(Mass_Data[[#This Row],[axle group 6]]&amp;Mass_Data[[#This Row],[Mass Scheme]],Axle_Data[Axle Code]&amp;Axle_Data[Mass Scheme],Axle_Data[MDL Maximum Mass (t)],"",0)</f>
        <v/>
      </c>
      <c r="Y120" t="str" cm="1">
        <f t="array" ref="Y120">_xlfn.XLOOKUP(Mass_Data[[#This Row],[axle group 7]]&amp;Mass_Data[[#This Row],[Mass Scheme]],Axle_Data[Axle Code]&amp;Axle_Data[Mass Scheme],Axle_Data[MDL Maximum Mass (t)],"",0)</f>
        <v/>
      </c>
      <c r="Z120" s="81">
        <f>SUM(Mass_Data[[#This Row],[MDL axle group 1 mass]:[MDL axle group 7 mass]])</f>
        <v>38.5</v>
      </c>
      <c r="AA120">
        <f>Mass_Data[[#This Row],[Total (1)]]-Mass_Data[[#This Row],[GCM (t)]]</f>
        <v>0</v>
      </c>
      <c r="AB120" t="str">
        <f>IF(Mass_Data[[#This Row],[Difference between MDL and GCM]]=0,"YES","NO")</f>
        <v>YES</v>
      </c>
      <c r="AC120" s="22">
        <f>IFERROR(IF(Mass_Data[[#This Row],[Check (1)]]="YES",Mass_Data[[#This Row],[MDL axle group 1 mass]],Mass_Data[[#This Row],[MDL axle group 1 mass]]-(Mass_Data[[#This Row],[Difference between MDL and GCM]]*(Mass_Data[[#This Row],[MDL axle group 1 mass]]/Mass_Data[[#This Row],[Total (1)]]))),"")</f>
        <v>6.5</v>
      </c>
      <c r="AD120" s="22">
        <f>IFERROR(IF(Mass_Data[[#This Row],[Check (1)]]="YES",Mass_Data[[#This Row],[MDL axle group 2 mass]],Mass_Data[[#This Row],[MDL axle group 2 mass]]-(Mass_Data[[#This Row],[Difference between MDL and GCM]]*(Mass_Data[[#This Row],[MDL axle group 2 mass]]/Mass_Data[[#This Row],[Total (1)]]))),"")</f>
        <v>17</v>
      </c>
      <c r="AE120" s="22">
        <f>IFERROR(IF(Mass_Data[[#This Row],[Check (1)]]="YES",Mass_Data[[#This Row],[MDL axle group 3 mass]],Mass_Data[[#This Row],[MDL axle group 3 mass]]-(Mass_Data[[#This Row],[Difference between MDL and GCM]]*(Mass_Data[[#This Row],[MDL axle group 3 mass]]/Mass_Data[[#This Row],[Total (1)]]))),"")</f>
        <v>15</v>
      </c>
      <c r="AF120" s="22" t="str">
        <f>IFERROR(IF(Mass_Data[[#This Row],[Check (1)]]="YES",Mass_Data[[#This Row],[MDL axle group 4 mass]],Mass_Data[[#This Row],[MDL axle group 4 mass]]-(Mass_Data[[#This Row],[Difference between MDL and GCM]]*(Mass_Data[[#This Row],[MDL axle group 4 mass]]/Mass_Data[[#This Row],[Total (1)]]))),"")</f>
        <v/>
      </c>
      <c r="AG120" s="22" t="str">
        <f>IFERROR(IF(Mass_Data[[#This Row],[Check (1)]]="YES",Mass_Data[[#This Row],[MDL axle group 5 mass]],Mass_Data[[#This Row],[MDL axle group 5 mass]]-(Mass_Data[[#This Row],[Difference between MDL and GCM]]*(Mass_Data[[#This Row],[MDL axle group 5 mass]]/Mass_Data[[#This Row],[Total (1)]]))),"")</f>
        <v/>
      </c>
      <c r="AH120" s="22" t="str">
        <f>IFERROR(IF(Mass_Data[[#This Row],[Check (1)]]="YES",Mass_Data[[#This Row],[MDL axle group 6 mass]],Mass_Data[[#This Row],[MDL axle group 6 mass]]-(Mass_Data[[#This Row],[Difference between MDL and GCM]]*(Mass_Data[[#This Row],[MDL axle group 6 mass]]/Mass_Data[[#This Row],[Total (1)]]))),"")</f>
        <v/>
      </c>
      <c r="AI120" s="22" t="str">
        <f>IFERROR(IF(Mass_Data[[#This Row],[Check (1)]]="YES",Mass_Data[[#This Row],[MDL axle group 7 mass]],Mass_Data[[#This Row],[MDL axle group 7 mass]]-(Mass_Data[[#This Row],[Difference between MDL and GCM]]*(Mass_Data[[#This Row],[MDL axle group 7 mass]]/Mass_Data[[#This Row],[Total (1)]]))),"")</f>
        <v/>
      </c>
      <c r="AJ120" s="81">
        <f>SUM(Mass_Data[[#This Row],[Corrected axle group 1 mass]:[Corrected axle group 7 mass]])</f>
        <v>38.5</v>
      </c>
      <c r="AK120">
        <f>Mass_Data[[#This Row],[Total (2)]]-Mass_Data[[#This Row],[GCM (t)]]</f>
        <v>0</v>
      </c>
      <c r="AL120" s="22" t="str">
        <f>IF(Mass_Data[[#This Row],[Difference between MDL and corrected axle masses]]=0,"YES","NO")</f>
        <v>YES</v>
      </c>
    </row>
    <row r="121" spans="3:38" x14ac:dyDescent="0.35">
      <c r="C121" s="10" t="str">
        <f t="shared" si="1"/>
        <v>PBS - 3-axle truck and 2-axle pig trailer (HML): 1</v>
      </c>
      <c r="D121" s="10" t="s">
        <v>163</v>
      </c>
      <c r="E121" s="10" t="s">
        <v>147</v>
      </c>
      <c r="F121" s="10" t="s">
        <v>7</v>
      </c>
      <c r="G121" s="10" t="s">
        <v>3</v>
      </c>
      <c r="H121" t="s">
        <v>130</v>
      </c>
      <c r="I121" s="9">
        <v>38.5</v>
      </c>
      <c r="J121" s="14">
        <v>22.266102339181288</v>
      </c>
      <c r="K121" s="14">
        <f>Mass_Data[[#This Row],[GCM (t)]]-Mass_Data[[#This Row],[Payload (t)]]</f>
        <v>16.233897660818712</v>
      </c>
      <c r="L121" t="s">
        <v>8</v>
      </c>
      <c r="M121" t="s">
        <v>9</v>
      </c>
      <c r="N121" t="s">
        <v>44</v>
      </c>
      <c r="O121">
        <v>0</v>
      </c>
      <c r="P121">
        <v>0</v>
      </c>
      <c r="Q121">
        <v>0</v>
      </c>
      <c r="R121">
        <v>0</v>
      </c>
      <c r="S121" cm="1">
        <f t="array" ref="S121">_xlfn.XLOOKUP(Mass_Data[[#This Row],[axle group 1]]&amp;Mass_Data[[#This Row],[Mass Scheme]],Axle_Data[Axle Code]&amp;Axle_Data[Mass Scheme],Axle_Data[MDL Maximum Mass (t)],"",0)</f>
        <v>6.5</v>
      </c>
      <c r="T121" cm="1">
        <f t="array" ref="T121">_xlfn.XLOOKUP(Mass_Data[[#This Row],[axle group 2]]&amp;Mass_Data[[#This Row],[Mass Scheme]],Axle_Data[Axle Code]&amp;Axle_Data[Mass Scheme],Axle_Data[MDL Maximum Mass (t)],"",0)</f>
        <v>17</v>
      </c>
      <c r="U121" cm="1">
        <f t="array" ref="U121">_xlfn.XLOOKUP(Mass_Data[[#This Row],[axle group 3]]&amp;Mass_Data[[#This Row],[Mass Scheme]],Axle_Data[Axle Code]&amp;Axle_Data[Mass Scheme],Axle_Data[MDL Maximum Mass (t)],"",0)</f>
        <v>15</v>
      </c>
      <c r="V121" t="str" cm="1">
        <f t="array" ref="V121">_xlfn.XLOOKUP(Mass_Data[[#This Row],[axle group 4]]&amp;Mass_Data[[#This Row],[Mass Scheme]],Axle_Data[Axle Code]&amp;Axle_Data[Mass Scheme],Axle_Data[MDL Maximum Mass (t)],"",0)</f>
        <v/>
      </c>
      <c r="W121" t="str" cm="1">
        <f t="array" ref="W121">_xlfn.XLOOKUP(Mass_Data[[#This Row],[axle group 5]]&amp;Mass_Data[[#This Row],[Mass Scheme]],Axle_Data[Axle Code]&amp;Axle_Data[Mass Scheme],Axle_Data[MDL Maximum Mass (t)],"",0)</f>
        <v/>
      </c>
      <c r="X121" t="str" cm="1">
        <f t="array" ref="X121">_xlfn.XLOOKUP(Mass_Data[[#This Row],[axle group 6]]&amp;Mass_Data[[#This Row],[Mass Scheme]],Axle_Data[Axle Code]&amp;Axle_Data[Mass Scheme],Axle_Data[MDL Maximum Mass (t)],"",0)</f>
        <v/>
      </c>
      <c r="Y121" t="str" cm="1">
        <f t="array" ref="Y121">_xlfn.XLOOKUP(Mass_Data[[#This Row],[axle group 7]]&amp;Mass_Data[[#This Row],[Mass Scheme]],Axle_Data[Axle Code]&amp;Axle_Data[Mass Scheme],Axle_Data[MDL Maximum Mass (t)],"",0)</f>
        <v/>
      </c>
      <c r="Z121" s="81">
        <f>SUM(Mass_Data[[#This Row],[MDL axle group 1 mass]:[MDL axle group 7 mass]])</f>
        <v>38.5</v>
      </c>
      <c r="AA121">
        <f>Mass_Data[[#This Row],[Total (1)]]-Mass_Data[[#This Row],[GCM (t)]]</f>
        <v>0</v>
      </c>
      <c r="AB121" t="str">
        <f>IF(Mass_Data[[#This Row],[Difference between MDL and GCM]]=0,"YES","NO")</f>
        <v>YES</v>
      </c>
      <c r="AC121" s="22">
        <f>IFERROR(IF(Mass_Data[[#This Row],[Check (1)]]="YES",Mass_Data[[#This Row],[MDL axle group 1 mass]],Mass_Data[[#This Row],[MDL axle group 1 mass]]-(Mass_Data[[#This Row],[Difference between MDL and GCM]]*(Mass_Data[[#This Row],[MDL axle group 1 mass]]/Mass_Data[[#This Row],[Total (1)]]))),"")</f>
        <v>6.5</v>
      </c>
      <c r="AD121" s="22">
        <f>IFERROR(IF(Mass_Data[[#This Row],[Check (1)]]="YES",Mass_Data[[#This Row],[MDL axle group 2 mass]],Mass_Data[[#This Row],[MDL axle group 2 mass]]-(Mass_Data[[#This Row],[Difference between MDL and GCM]]*(Mass_Data[[#This Row],[MDL axle group 2 mass]]/Mass_Data[[#This Row],[Total (1)]]))),"")</f>
        <v>17</v>
      </c>
      <c r="AE121" s="22">
        <f>IFERROR(IF(Mass_Data[[#This Row],[Check (1)]]="YES",Mass_Data[[#This Row],[MDL axle group 3 mass]],Mass_Data[[#This Row],[MDL axle group 3 mass]]-(Mass_Data[[#This Row],[Difference between MDL and GCM]]*(Mass_Data[[#This Row],[MDL axle group 3 mass]]/Mass_Data[[#This Row],[Total (1)]]))),"")</f>
        <v>15</v>
      </c>
      <c r="AF121" s="22" t="str">
        <f>IFERROR(IF(Mass_Data[[#This Row],[Check (1)]]="YES",Mass_Data[[#This Row],[MDL axle group 4 mass]],Mass_Data[[#This Row],[MDL axle group 4 mass]]-(Mass_Data[[#This Row],[Difference between MDL and GCM]]*(Mass_Data[[#This Row],[MDL axle group 4 mass]]/Mass_Data[[#This Row],[Total (1)]]))),"")</f>
        <v/>
      </c>
      <c r="AG121" s="22" t="str">
        <f>IFERROR(IF(Mass_Data[[#This Row],[Check (1)]]="YES",Mass_Data[[#This Row],[MDL axle group 5 mass]],Mass_Data[[#This Row],[MDL axle group 5 mass]]-(Mass_Data[[#This Row],[Difference between MDL and GCM]]*(Mass_Data[[#This Row],[MDL axle group 5 mass]]/Mass_Data[[#This Row],[Total (1)]]))),"")</f>
        <v/>
      </c>
      <c r="AH121" s="22" t="str">
        <f>IFERROR(IF(Mass_Data[[#This Row],[Check (1)]]="YES",Mass_Data[[#This Row],[MDL axle group 6 mass]],Mass_Data[[#This Row],[MDL axle group 6 mass]]-(Mass_Data[[#This Row],[Difference between MDL and GCM]]*(Mass_Data[[#This Row],[MDL axle group 6 mass]]/Mass_Data[[#This Row],[Total (1)]]))),"")</f>
        <v/>
      </c>
      <c r="AI121" s="22" t="str">
        <f>IFERROR(IF(Mass_Data[[#This Row],[Check (1)]]="YES",Mass_Data[[#This Row],[MDL axle group 7 mass]],Mass_Data[[#This Row],[MDL axle group 7 mass]]-(Mass_Data[[#This Row],[Difference between MDL and GCM]]*(Mass_Data[[#This Row],[MDL axle group 7 mass]]/Mass_Data[[#This Row],[Total (1)]]))),"")</f>
        <v/>
      </c>
      <c r="AJ121" s="81">
        <f>SUM(Mass_Data[[#This Row],[Corrected axle group 1 mass]:[Corrected axle group 7 mass]])</f>
        <v>38.5</v>
      </c>
      <c r="AK121">
        <f>Mass_Data[[#This Row],[Total (2)]]-Mass_Data[[#This Row],[GCM (t)]]</f>
        <v>0</v>
      </c>
      <c r="AL121" s="22" t="str">
        <f>IF(Mass_Data[[#This Row],[Difference between MDL and corrected axle masses]]=0,"YES","NO")</f>
        <v>YES</v>
      </c>
    </row>
    <row r="122" spans="3:38" x14ac:dyDescent="0.35">
      <c r="C122" s="10" t="str">
        <f t="shared" si="1"/>
        <v>PBS - 4-axle truck and 2-axle pig trailer (GML): 1</v>
      </c>
      <c r="D122" s="10" t="s">
        <v>161</v>
      </c>
      <c r="E122" s="10" t="s">
        <v>147</v>
      </c>
      <c r="F122" s="10" t="s">
        <v>18</v>
      </c>
      <c r="G122" s="10" t="s">
        <v>3</v>
      </c>
      <c r="H122" t="s">
        <v>131</v>
      </c>
      <c r="I122" s="9">
        <v>42.5</v>
      </c>
      <c r="J122" s="14">
        <v>23.483444444444441</v>
      </c>
      <c r="K122" s="14">
        <f>Mass_Data[[#This Row],[GCM (t)]]-Mass_Data[[#This Row],[Payload (t)]]</f>
        <v>19.016555555555559</v>
      </c>
      <c r="L122" t="s">
        <v>40</v>
      </c>
      <c r="M122" t="s">
        <v>9</v>
      </c>
      <c r="N122" t="s">
        <v>44</v>
      </c>
      <c r="P122">
        <v>0</v>
      </c>
      <c r="Q122">
        <v>0</v>
      </c>
      <c r="R122">
        <v>0</v>
      </c>
      <c r="S122" cm="1">
        <f t="array" ref="S122">_xlfn.XLOOKUP(Mass_Data[[#This Row],[axle group 1]]&amp;Mass_Data[[#This Row],[Mass Scheme]],Axle_Data[Axle Code]&amp;Axle_Data[Mass Scheme],Axle_Data[MDL Maximum Mass (t)],"",0)</f>
        <v>11</v>
      </c>
      <c r="T122" cm="1">
        <f t="array" ref="T122">_xlfn.XLOOKUP(Mass_Data[[#This Row],[axle group 2]]&amp;Mass_Data[[#This Row],[Mass Scheme]],Axle_Data[Axle Code]&amp;Axle_Data[Mass Scheme],Axle_Data[MDL Maximum Mass (t)],"",0)</f>
        <v>16.5</v>
      </c>
      <c r="U122" cm="1">
        <f t="array" ref="U122">_xlfn.XLOOKUP(Mass_Data[[#This Row],[axle group 3]]&amp;Mass_Data[[#This Row],[Mass Scheme]],Axle_Data[Axle Code]&amp;Axle_Data[Mass Scheme],Axle_Data[MDL Maximum Mass (t)],"",0)</f>
        <v>15</v>
      </c>
      <c r="V122" t="str" cm="1">
        <f t="array" ref="V122">_xlfn.XLOOKUP(Mass_Data[[#This Row],[axle group 4]]&amp;Mass_Data[[#This Row],[Mass Scheme]],Axle_Data[Axle Code]&amp;Axle_Data[Mass Scheme],Axle_Data[MDL Maximum Mass (t)],"",0)</f>
        <v/>
      </c>
      <c r="W122" t="str" cm="1">
        <f t="array" ref="W122">_xlfn.XLOOKUP(Mass_Data[[#This Row],[axle group 5]]&amp;Mass_Data[[#This Row],[Mass Scheme]],Axle_Data[Axle Code]&amp;Axle_Data[Mass Scheme],Axle_Data[MDL Maximum Mass (t)],"",0)</f>
        <v/>
      </c>
      <c r="X122" t="str" cm="1">
        <f t="array" ref="X122">_xlfn.XLOOKUP(Mass_Data[[#This Row],[axle group 6]]&amp;Mass_Data[[#This Row],[Mass Scheme]],Axle_Data[Axle Code]&amp;Axle_Data[Mass Scheme],Axle_Data[MDL Maximum Mass (t)],"",0)</f>
        <v/>
      </c>
      <c r="Y122" t="str" cm="1">
        <f t="array" ref="Y122">_xlfn.XLOOKUP(Mass_Data[[#This Row],[axle group 7]]&amp;Mass_Data[[#This Row],[Mass Scheme]],Axle_Data[Axle Code]&amp;Axle_Data[Mass Scheme],Axle_Data[MDL Maximum Mass (t)],"",0)</f>
        <v/>
      </c>
      <c r="Z122" s="81">
        <f>SUM(Mass_Data[[#This Row],[MDL axle group 1 mass]:[MDL axle group 7 mass]])</f>
        <v>42.5</v>
      </c>
      <c r="AA122">
        <f>Mass_Data[[#This Row],[Total (1)]]-Mass_Data[[#This Row],[GCM (t)]]</f>
        <v>0</v>
      </c>
      <c r="AB122" t="str">
        <f>IF(Mass_Data[[#This Row],[Difference between MDL and GCM]]=0,"YES","NO")</f>
        <v>YES</v>
      </c>
      <c r="AC122" s="22">
        <f>IFERROR(IF(Mass_Data[[#This Row],[Check (1)]]="YES",Mass_Data[[#This Row],[MDL axle group 1 mass]],Mass_Data[[#This Row],[MDL axle group 1 mass]]-(Mass_Data[[#This Row],[Difference between MDL and GCM]]*(Mass_Data[[#This Row],[MDL axle group 1 mass]]/Mass_Data[[#This Row],[Total (1)]]))),"")</f>
        <v>11</v>
      </c>
      <c r="AD122" s="22">
        <f>IFERROR(IF(Mass_Data[[#This Row],[Check (1)]]="YES",Mass_Data[[#This Row],[MDL axle group 2 mass]],Mass_Data[[#This Row],[MDL axle group 2 mass]]-(Mass_Data[[#This Row],[Difference between MDL and GCM]]*(Mass_Data[[#This Row],[MDL axle group 2 mass]]/Mass_Data[[#This Row],[Total (1)]]))),"")</f>
        <v>16.5</v>
      </c>
      <c r="AE122" s="22">
        <f>IFERROR(IF(Mass_Data[[#This Row],[Check (1)]]="YES",Mass_Data[[#This Row],[MDL axle group 3 mass]],Mass_Data[[#This Row],[MDL axle group 3 mass]]-(Mass_Data[[#This Row],[Difference between MDL and GCM]]*(Mass_Data[[#This Row],[MDL axle group 3 mass]]/Mass_Data[[#This Row],[Total (1)]]))),"")</f>
        <v>15</v>
      </c>
      <c r="AF122" s="22" t="str">
        <f>IFERROR(IF(Mass_Data[[#This Row],[Check (1)]]="YES",Mass_Data[[#This Row],[MDL axle group 4 mass]],Mass_Data[[#This Row],[MDL axle group 4 mass]]-(Mass_Data[[#This Row],[Difference between MDL and GCM]]*(Mass_Data[[#This Row],[MDL axle group 4 mass]]/Mass_Data[[#This Row],[Total (1)]]))),"")</f>
        <v/>
      </c>
      <c r="AG122" s="22" t="str">
        <f>IFERROR(IF(Mass_Data[[#This Row],[Check (1)]]="YES",Mass_Data[[#This Row],[MDL axle group 5 mass]],Mass_Data[[#This Row],[MDL axle group 5 mass]]-(Mass_Data[[#This Row],[Difference between MDL and GCM]]*(Mass_Data[[#This Row],[MDL axle group 5 mass]]/Mass_Data[[#This Row],[Total (1)]]))),"")</f>
        <v/>
      </c>
      <c r="AH122" s="22" t="str">
        <f>IFERROR(IF(Mass_Data[[#This Row],[Check (1)]]="YES",Mass_Data[[#This Row],[MDL axle group 6 mass]],Mass_Data[[#This Row],[MDL axle group 6 mass]]-(Mass_Data[[#This Row],[Difference between MDL and GCM]]*(Mass_Data[[#This Row],[MDL axle group 6 mass]]/Mass_Data[[#This Row],[Total (1)]]))),"")</f>
        <v/>
      </c>
      <c r="AI122" s="22" t="str">
        <f>IFERROR(IF(Mass_Data[[#This Row],[Check (1)]]="YES",Mass_Data[[#This Row],[MDL axle group 7 mass]],Mass_Data[[#This Row],[MDL axle group 7 mass]]-(Mass_Data[[#This Row],[Difference between MDL and GCM]]*(Mass_Data[[#This Row],[MDL axle group 7 mass]]/Mass_Data[[#This Row],[Total (1)]]))),"")</f>
        <v/>
      </c>
      <c r="AJ122" s="81">
        <f>SUM(Mass_Data[[#This Row],[Corrected axle group 1 mass]:[Corrected axle group 7 mass]])</f>
        <v>42.5</v>
      </c>
      <c r="AK122">
        <f>Mass_Data[[#This Row],[Total (2)]]-Mass_Data[[#This Row],[GCM (t)]]</f>
        <v>0</v>
      </c>
      <c r="AL122" s="22" t="str">
        <f>IF(Mass_Data[[#This Row],[Difference between MDL and corrected axle masses]]=0,"YES","NO")</f>
        <v>YES</v>
      </c>
    </row>
    <row r="123" spans="3:38" x14ac:dyDescent="0.35">
      <c r="C123" s="10" t="str">
        <f t="shared" si="1"/>
        <v>PBS - 4-axle truck and 2-axle pig trailer (CML): 1</v>
      </c>
      <c r="D123" s="10" t="s">
        <v>161</v>
      </c>
      <c r="E123" s="10" t="s">
        <v>147</v>
      </c>
      <c r="F123" s="10" t="s">
        <v>20</v>
      </c>
      <c r="G123" s="10" t="s">
        <v>3</v>
      </c>
      <c r="H123" t="s">
        <v>131</v>
      </c>
      <c r="I123" s="9">
        <v>43</v>
      </c>
      <c r="J123" s="14">
        <v>23.983444444444441</v>
      </c>
      <c r="K123" s="14">
        <f>Mass_Data[[#This Row],[GCM (t)]]-Mass_Data[[#This Row],[Payload (t)]]</f>
        <v>19.016555555555559</v>
      </c>
      <c r="L123" t="s">
        <v>40</v>
      </c>
      <c r="M123" t="s">
        <v>9</v>
      </c>
      <c r="N123" t="s">
        <v>44</v>
      </c>
      <c r="P123">
        <v>0</v>
      </c>
      <c r="Q123">
        <v>0</v>
      </c>
      <c r="R123">
        <v>0</v>
      </c>
      <c r="S123" cm="1">
        <f t="array" ref="S123">_xlfn.XLOOKUP(Mass_Data[[#This Row],[axle group 1]]&amp;Mass_Data[[#This Row],[Mass Scheme]],Axle_Data[Axle Code]&amp;Axle_Data[Mass Scheme],Axle_Data[MDL Maximum Mass (t)],"",0)</f>
        <v>11</v>
      </c>
      <c r="T123" cm="1">
        <f t="array" ref="T123">_xlfn.XLOOKUP(Mass_Data[[#This Row],[axle group 2]]&amp;Mass_Data[[#This Row],[Mass Scheme]],Axle_Data[Axle Code]&amp;Axle_Data[Mass Scheme],Axle_Data[MDL Maximum Mass (t)],"",0)</f>
        <v>17</v>
      </c>
      <c r="U123" cm="1">
        <f t="array" ref="U123">_xlfn.XLOOKUP(Mass_Data[[#This Row],[axle group 3]]&amp;Mass_Data[[#This Row],[Mass Scheme]],Axle_Data[Axle Code]&amp;Axle_Data[Mass Scheme],Axle_Data[MDL Maximum Mass (t)],"",0)</f>
        <v>15</v>
      </c>
      <c r="V123" t="str" cm="1">
        <f t="array" ref="V123">_xlfn.XLOOKUP(Mass_Data[[#This Row],[axle group 4]]&amp;Mass_Data[[#This Row],[Mass Scheme]],Axle_Data[Axle Code]&amp;Axle_Data[Mass Scheme],Axle_Data[MDL Maximum Mass (t)],"",0)</f>
        <v/>
      </c>
      <c r="W123" t="str" cm="1">
        <f t="array" ref="W123">_xlfn.XLOOKUP(Mass_Data[[#This Row],[axle group 5]]&amp;Mass_Data[[#This Row],[Mass Scheme]],Axle_Data[Axle Code]&amp;Axle_Data[Mass Scheme],Axle_Data[MDL Maximum Mass (t)],"",0)</f>
        <v/>
      </c>
      <c r="X123" t="str" cm="1">
        <f t="array" ref="X123">_xlfn.XLOOKUP(Mass_Data[[#This Row],[axle group 6]]&amp;Mass_Data[[#This Row],[Mass Scheme]],Axle_Data[Axle Code]&amp;Axle_Data[Mass Scheme],Axle_Data[MDL Maximum Mass (t)],"",0)</f>
        <v/>
      </c>
      <c r="Y123" t="str" cm="1">
        <f t="array" ref="Y123">_xlfn.XLOOKUP(Mass_Data[[#This Row],[axle group 7]]&amp;Mass_Data[[#This Row],[Mass Scheme]],Axle_Data[Axle Code]&amp;Axle_Data[Mass Scheme],Axle_Data[MDL Maximum Mass (t)],"",0)</f>
        <v/>
      </c>
      <c r="Z123" s="81">
        <f>SUM(Mass_Data[[#This Row],[MDL axle group 1 mass]:[MDL axle group 7 mass]])</f>
        <v>43</v>
      </c>
      <c r="AA123">
        <f>Mass_Data[[#This Row],[Total (1)]]-Mass_Data[[#This Row],[GCM (t)]]</f>
        <v>0</v>
      </c>
      <c r="AB123" t="str">
        <f>IF(Mass_Data[[#This Row],[Difference between MDL and GCM]]=0,"YES","NO")</f>
        <v>YES</v>
      </c>
      <c r="AC123" s="22">
        <f>IFERROR(IF(Mass_Data[[#This Row],[Check (1)]]="YES",Mass_Data[[#This Row],[MDL axle group 1 mass]],Mass_Data[[#This Row],[MDL axle group 1 mass]]-(Mass_Data[[#This Row],[Difference between MDL and GCM]]*(Mass_Data[[#This Row],[MDL axle group 1 mass]]/Mass_Data[[#This Row],[Total (1)]]))),"")</f>
        <v>11</v>
      </c>
      <c r="AD123" s="22">
        <f>IFERROR(IF(Mass_Data[[#This Row],[Check (1)]]="YES",Mass_Data[[#This Row],[MDL axle group 2 mass]],Mass_Data[[#This Row],[MDL axle group 2 mass]]-(Mass_Data[[#This Row],[Difference between MDL and GCM]]*(Mass_Data[[#This Row],[MDL axle group 2 mass]]/Mass_Data[[#This Row],[Total (1)]]))),"")</f>
        <v>17</v>
      </c>
      <c r="AE123" s="22">
        <f>IFERROR(IF(Mass_Data[[#This Row],[Check (1)]]="YES",Mass_Data[[#This Row],[MDL axle group 3 mass]],Mass_Data[[#This Row],[MDL axle group 3 mass]]-(Mass_Data[[#This Row],[Difference between MDL and GCM]]*(Mass_Data[[#This Row],[MDL axle group 3 mass]]/Mass_Data[[#This Row],[Total (1)]]))),"")</f>
        <v>15</v>
      </c>
      <c r="AF123" s="22" t="str">
        <f>IFERROR(IF(Mass_Data[[#This Row],[Check (1)]]="YES",Mass_Data[[#This Row],[MDL axle group 4 mass]],Mass_Data[[#This Row],[MDL axle group 4 mass]]-(Mass_Data[[#This Row],[Difference between MDL and GCM]]*(Mass_Data[[#This Row],[MDL axle group 4 mass]]/Mass_Data[[#This Row],[Total (1)]]))),"")</f>
        <v/>
      </c>
      <c r="AG123" s="22" t="str">
        <f>IFERROR(IF(Mass_Data[[#This Row],[Check (1)]]="YES",Mass_Data[[#This Row],[MDL axle group 5 mass]],Mass_Data[[#This Row],[MDL axle group 5 mass]]-(Mass_Data[[#This Row],[Difference between MDL and GCM]]*(Mass_Data[[#This Row],[MDL axle group 5 mass]]/Mass_Data[[#This Row],[Total (1)]]))),"")</f>
        <v/>
      </c>
      <c r="AH123" s="22" t="str">
        <f>IFERROR(IF(Mass_Data[[#This Row],[Check (1)]]="YES",Mass_Data[[#This Row],[MDL axle group 6 mass]],Mass_Data[[#This Row],[MDL axle group 6 mass]]-(Mass_Data[[#This Row],[Difference between MDL and GCM]]*(Mass_Data[[#This Row],[MDL axle group 6 mass]]/Mass_Data[[#This Row],[Total (1)]]))),"")</f>
        <v/>
      </c>
      <c r="AI123" s="22" t="str">
        <f>IFERROR(IF(Mass_Data[[#This Row],[Check (1)]]="YES",Mass_Data[[#This Row],[MDL axle group 7 mass]],Mass_Data[[#This Row],[MDL axle group 7 mass]]-(Mass_Data[[#This Row],[Difference between MDL and GCM]]*(Mass_Data[[#This Row],[MDL axle group 7 mass]]/Mass_Data[[#This Row],[Total (1)]]))),"")</f>
        <v/>
      </c>
      <c r="AJ123" s="81">
        <f>SUM(Mass_Data[[#This Row],[Corrected axle group 1 mass]:[Corrected axle group 7 mass]])</f>
        <v>43</v>
      </c>
      <c r="AK123">
        <f>Mass_Data[[#This Row],[Total (2)]]-Mass_Data[[#This Row],[GCM (t)]]</f>
        <v>0</v>
      </c>
      <c r="AL123" s="22" t="str">
        <f>IF(Mass_Data[[#This Row],[Difference between MDL and corrected axle masses]]=0,"YES","NO")</f>
        <v>YES</v>
      </c>
    </row>
    <row r="124" spans="3:38" x14ac:dyDescent="0.35">
      <c r="C124" s="10" t="str">
        <f t="shared" si="1"/>
        <v>PBS - 4-axle truck and 2-axle pig trailer (HML): 1</v>
      </c>
      <c r="D124" s="10" t="s">
        <v>161</v>
      </c>
      <c r="E124" s="10" t="s">
        <v>147</v>
      </c>
      <c r="F124" s="10" t="s">
        <v>7</v>
      </c>
      <c r="G124" s="10" t="s">
        <v>3</v>
      </c>
      <c r="H124" t="s">
        <v>131</v>
      </c>
      <c r="I124" s="9">
        <v>43</v>
      </c>
      <c r="J124" s="14">
        <v>23.983444444444441</v>
      </c>
      <c r="K124" s="14">
        <f>Mass_Data[[#This Row],[GCM (t)]]-Mass_Data[[#This Row],[Payload (t)]]</f>
        <v>19.016555555555559</v>
      </c>
      <c r="L124" t="s">
        <v>40</v>
      </c>
      <c r="M124" t="s">
        <v>9</v>
      </c>
      <c r="N124" t="s">
        <v>44</v>
      </c>
      <c r="P124">
        <v>0</v>
      </c>
      <c r="Q124">
        <v>0</v>
      </c>
      <c r="R124">
        <v>0</v>
      </c>
      <c r="S124" cm="1">
        <f t="array" ref="S124">_xlfn.XLOOKUP(Mass_Data[[#This Row],[axle group 1]]&amp;Mass_Data[[#This Row],[Mass Scheme]],Axle_Data[Axle Code]&amp;Axle_Data[Mass Scheme],Axle_Data[MDL Maximum Mass (t)],"",0)</f>
        <v>11</v>
      </c>
      <c r="T124" cm="1">
        <f t="array" ref="T124">_xlfn.XLOOKUP(Mass_Data[[#This Row],[axle group 2]]&amp;Mass_Data[[#This Row],[Mass Scheme]],Axle_Data[Axle Code]&amp;Axle_Data[Mass Scheme],Axle_Data[MDL Maximum Mass (t)],"",0)</f>
        <v>17</v>
      </c>
      <c r="U124" cm="1">
        <f t="array" ref="U124">_xlfn.XLOOKUP(Mass_Data[[#This Row],[axle group 3]]&amp;Mass_Data[[#This Row],[Mass Scheme]],Axle_Data[Axle Code]&amp;Axle_Data[Mass Scheme],Axle_Data[MDL Maximum Mass (t)],"",0)</f>
        <v>15</v>
      </c>
      <c r="V124" t="str" cm="1">
        <f t="array" ref="V124">_xlfn.XLOOKUP(Mass_Data[[#This Row],[axle group 4]]&amp;Mass_Data[[#This Row],[Mass Scheme]],Axle_Data[Axle Code]&amp;Axle_Data[Mass Scheme],Axle_Data[MDL Maximum Mass (t)],"",0)</f>
        <v/>
      </c>
      <c r="W124" t="str" cm="1">
        <f t="array" ref="W124">_xlfn.XLOOKUP(Mass_Data[[#This Row],[axle group 5]]&amp;Mass_Data[[#This Row],[Mass Scheme]],Axle_Data[Axle Code]&amp;Axle_Data[Mass Scheme],Axle_Data[MDL Maximum Mass (t)],"",0)</f>
        <v/>
      </c>
      <c r="X124" t="str" cm="1">
        <f t="array" ref="X124">_xlfn.XLOOKUP(Mass_Data[[#This Row],[axle group 6]]&amp;Mass_Data[[#This Row],[Mass Scheme]],Axle_Data[Axle Code]&amp;Axle_Data[Mass Scheme],Axle_Data[MDL Maximum Mass (t)],"",0)</f>
        <v/>
      </c>
      <c r="Y124" t="str" cm="1">
        <f t="array" ref="Y124">_xlfn.XLOOKUP(Mass_Data[[#This Row],[axle group 7]]&amp;Mass_Data[[#This Row],[Mass Scheme]],Axle_Data[Axle Code]&amp;Axle_Data[Mass Scheme],Axle_Data[MDL Maximum Mass (t)],"",0)</f>
        <v/>
      </c>
      <c r="Z124" s="81">
        <f>SUM(Mass_Data[[#This Row],[MDL axle group 1 mass]:[MDL axle group 7 mass]])</f>
        <v>43</v>
      </c>
      <c r="AA124">
        <f>Mass_Data[[#This Row],[Total (1)]]-Mass_Data[[#This Row],[GCM (t)]]</f>
        <v>0</v>
      </c>
      <c r="AB124" t="str">
        <f>IF(Mass_Data[[#This Row],[Difference between MDL and GCM]]=0,"YES","NO")</f>
        <v>YES</v>
      </c>
      <c r="AC124" s="22">
        <f>IFERROR(IF(Mass_Data[[#This Row],[Check (1)]]="YES",Mass_Data[[#This Row],[MDL axle group 1 mass]],Mass_Data[[#This Row],[MDL axle group 1 mass]]-(Mass_Data[[#This Row],[Difference between MDL and GCM]]*(Mass_Data[[#This Row],[MDL axle group 1 mass]]/Mass_Data[[#This Row],[Total (1)]]))),"")</f>
        <v>11</v>
      </c>
      <c r="AD124" s="22">
        <f>IFERROR(IF(Mass_Data[[#This Row],[Check (1)]]="YES",Mass_Data[[#This Row],[MDL axle group 2 mass]],Mass_Data[[#This Row],[MDL axle group 2 mass]]-(Mass_Data[[#This Row],[Difference between MDL and GCM]]*(Mass_Data[[#This Row],[MDL axle group 2 mass]]/Mass_Data[[#This Row],[Total (1)]]))),"")</f>
        <v>17</v>
      </c>
      <c r="AE124" s="22">
        <f>IFERROR(IF(Mass_Data[[#This Row],[Check (1)]]="YES",Mass_Data[[#This Row],[MDL axle group 3 mass]],Mass_Data[[#This Row],[MDL axle group 3 mass]]-(Mass_Data[[#This Row],[Difference between MDL and GCM]]*(Mass_Data[[#This Row],[MDL axle group 3 mass]]/Mass_Data[[#This Row],[Total (1)]]))),"")</f>
        <v>15</v>
      </c>
      <c r="AF124" s="22" t="str">
        <f>IFERROR(IF(Mass_Data[[#This Row],[Check (1)]]="YES",Mass_Data[[#This Row],[MDL axle group 4 mass]],Mass_Data[[#This Row],[MDL axle group 4 mass]]-(Mass_Data[[#This Row],[Difference between MDL and GCM]]*(Mass_Data[[#This Row],[MDL axle group 4 mass]]/Mass_Data[[#This Row],[Total (1)]]))),"")</f>
        <v/>
      </c>
      <c r="AG124" s="22" t="str">
        <f>IFERROR(IF(Mass_Data[[#This Row],[Check (1)]]="YES",Mass_Data[[#This Row],[MDL axle group 5 mass]],Mass_Data[[#This Row],[MDL axle group 5 mass]]-(Mass_Data[[#This Row],[Difference between MDL and GCM]]*(Mass_Data[[#This Row],[MDL axle group 5 mass]]/Mass_Data[[#This Row],[Total (1)]]))),"")</f>
        <v/>
      </c>
      <c r="AH124" s="22" t="str">
        <f>IFERROR(IF(Mass_Data[[#This Row],[Check (1)]]="YES",Mass_Data[[#This Row],[MDL axle group 6 mass]],Mass_Data[[#This Row],[MDL axle group 6 mass]]-(Mass_Data[[#This Row],[Difference between MDL and GCM]]*(Mass_Data[[#This Row],[MDL axle group 6 mass]]/Mass_Data[[#This Row],[Total (1)]]))),"")</f>
        <v/>
      </c>
      <c r="AI124" s="22" t="str">
        <f>IFERROR(IF(Mass_Data[[#This Row],[Check (1)]]="YES",Mass_Data[[#This Row],[MDL axle group 7 mass]],Mass_Data[[#This Row],[MDL axle group 7 mass]]-(Mass_Data[[#This Row],[Difference between MDL and GCM]]*(Mass_Data[[#This Row],[MDL axle group 7 mass]]/Mass_Data[[#This Row],[Total (1)]]))),"")</f>
        <v/>
      </c>
      <c r="AJ124" s="81">
        <f>SUM(Mass_Data[[#This Row],[Corrected axle group 1 mass]:[Corrected axle group 7 mass]])</f>
        <v>43</v>
      </c>
      <c r="AK124">
        <f>Mass_Data[[#This Row],[Total (2)]]-Mass_Data[[#This Row],[GCM (t)]]</f>
        <v>0</v>
      </c>
      <c r="AL124" s="22" t="str">
        <f>IF(Mass_Data[[#This Row],[Difference between MDL and corrected axle masses]]=0,"YES","NO")</f>
        <v>YES</v>
      </c>
    </row>
    <row r="125" spans="3:38" x14ac:dyDescent="0.35">
      <c r="C125" s="10" t="str">
        <f t="shared" si="1"/>
        <v>Conventional - 2-Axle Rigid (GML)</v>
      </c>
      <c r="D125" s="10" t="s">
        <v>221</v>
      </c>
      <c r="E125" s="10" t="s">
        <v>220</v>
      </c>
      <c r="F125" s="11" t="s">
        <v>18</v>
      </c>
      <c r="G125" s="11" t="s">
        <v>202</v>
      </c>
      <c r="H125" t="s">
        <v>51</v>
      </c>
      <c r="I125" s="9">
        <v>15</v>
      </c>
      <c r="J125" s="14">
        <v>6.8943995815899566</v>
      </c>
      <c r="K125" s="14">
        <f>Mass_Data[[#This Row],[GCM (t)]]-Mass_Data[[#This Row],[Payload (t)]]</f>
        <v>8.1056004184100434</v>
      </c>
      <c r="L125" t="s">
        <v>8</v>
      </c>
      <c r="M125" t="s">
        <v>24</v>
      </c>
      <c r="N125">
        <v>0</v>
      </c>
      <c r="O125">
        <v>0</v>
      </c>
      <c r="P125">
        <v>0</v>
      </c>
      <c r="Q125">
        <v>0</v>
      </c>
      <c r="R125">
        <v>0</v>
      </c>
      <c r="S125" cm="1">
        <f t="array" ref="S125">_xlfn.XLOOKUP(Mass_Data[[#This Row],[axle group 1]]&amp;Mass_Data[[#This Row],[Mass Scheme]],Axle_Data[Axle Code]&amp;Axle_Data[Mass Scheme],Axle_Data[MDL Maximum Mass (t)],"",0)</f>
        <v>6.5</v>
      </c>
      <c r="T125" cm="1">
        <f t="array" ref="T125">_xlfn.XLOOKUP(Mass_Data[[#This Row],[axle group 2]]&amp;Mass_Data[[#This Row],[Mass Scheme]],Axle_Data[Axle Code]&amp;Axle_Data[Mass Scheme],Axle_Data[MDL Maximum Mass (t)],"",0)</f>
        <v>9</v>
      </c>
      <c r="U125" t="str" cm="1">
        <f t="array" ref="U125">_xlfn.XLOOKUP(Mass_Data[[#This Row],[axle group 3]]&amp;Mass_Data[[#This Row],[Mass Scheme]],Axle_Data[Axle Code]&amp;Axle_Data[Mass Scheme],Axle_Data[MDL Maximum Mass (t)],"",0)</f>
        <v/>
      </c>
      <c r="V125" t="str" cm="1">
        <f t="array" ref="V125">_xlfn.XLOOKUP(Mass_Data[[#This Row],[axle group 4]]&amp;Mass_Data[[#This Row],[Mass Scheme]],Axle_Data[Axle Code]&amp;Axle_Data[Mass Scheme],Axle_Data[MDL Maximum Mass (t)],"",0)</f>
        <v/>
      </c>
      <c r="W125" t="str" cm="1">
        <f t="array" ref="W125">_xlfn.XLOOKUP(Mass_Data[[#This Row],[axle group 5]]&amp;Mass_Data[[#This Row],[Mass Scheme]],Axle_Data[Axle Code]&amp;Axle_Data[Mass Scheme],Axle_Data[MDL Maximum Mass (t)],"",0)</f>
        <v/>
      </c>
      <c r="X125" t="str" cm="1">
        <f t="array" ref="X125">_xlfn.XLOOKUP(Mass_Data[[#This Row],[axle group 6]]&amp;Mass_Data[[#This Row],[Mass Scheme]],Axle_Data[Axle Code]&amp;Axle_Data[Mass Scheme],Axle_Data[MDL Maximum Mass (t)],"",0)</f>
        <v/>
      </c>
      <c r="Y125" t="str" cm="1">
        <f t="array" ref="Y125">_xlfn.XLOOKUP(Mass_Data[[#This Row],[axle group 7]]&amp;Mass_Data[[#This Row],[Mass Scheme]],Axle_Data[Axle Code]&amp;Axle_Data[Mass Scheme],Axle_Data[MDL Maximum Mass (t)],"",0)</f>
        <v/>
      </c>
      <c r="Z125" s="81">
        <f>SUM(Mass_Data[[#This Row],[MDL axle group 1 mass]:[MDL axle group 7 mass]])</f>
        <v>15.5</v>
      </c>
      <c r="AA125">
        <f>Mass_Data[[#This Row],[Total (1)]]-Mass_Data[[#This Row],[GCM (t)]]</f>
        <v>0.5</v>
      </c>
      <c r="AB125" t="str">
        <f>IF(Mass_Data[[#This Row],[Difference between MDL and GCM]]=0,"YES","NO")</f>
        <v>NO</v>
      </c>
      <c r="AC125" s="22">
        <f>IFERROR(IF(Mass_Data[[#This Row],[Check (1)]]="YES",Mass_Data[[#This Row],[MDL axle group 1 mass]],Mass_Data[[#This Row],[MDL axle group 1 mass]]-(Mass_Data[[#This Row],[Difference between MDL and GCM]]*(Mass_Data[[#This Row],[MDL axle group 1 mass]]/Mass_Data[[#This Row],[Total (1)]]))),"")</f>
        <v>6.290322580645161</v>
      </c>
      <c r="AD125" s="22">
        <f>IFERROR(IF(Mass_Data[[#This Row],[Check (1)]]="YES",Mass_Data[[#This Row],[MDL axle group 2 mass]],Mass_Data[[#This Row],[MDL axle group 2 mass]]-(Mass_Data[[#This Row],[Difference between MDL and GCM]]*(Mass_Data[[#This Row],[MDL axle group 2 mass]]/Mass_Data[[#This Row],[Total (1)]]))),"")</f>
        <v>8.7096774193548381</v>
      </c>
      <c r="AE125" s="22" t="str">
        <f>IFERROR(IF(Mass_Data[[#This Row],[Check (1)]]="YES",Mass_Data[[#This Row],[MDL axle group 3 mass]],Mass_Data[[#This Row],[MDL axle group 3 mass]]-(Mass_Data[[#This Row],[Difference between MDL and GCM]]*(Mass_Data[[#This Row],[MDL axle group 3 mass]]/Mass_Data[[#This Row],[Total (1)]]))),"")</f>
        <v/>
      </c>
      <c r="AF125" s="22" t="str">
        <f>IFERROR(IF(Mass_Data[[#This Row],[Check (1)]]="YES",Mass_Data[[#This Row],[MDL axle group 4 mass]],Mass_Data[[#This Row],[MDL axle group 4 mass]]-(Mass_Data[[#This Row],[Difference between MDL and GCM]]*(Mass_Data[[#This Row],[MDL axle group 4 mass]]/Mass_Data[[#This Row],[Total (1)]]))),"")</f>
        <v/>
      </c>
      <c r="AG125" s="22" t="str">
        <f>IFERROR(IF(Mass_Data[[#This Row],[Check (1)]]="YES",Mass_Data[[#This Row],[MDL axle group 5 mass]],Mass_Data[[#This Row],[MDL axle group 5 mass]]-(Mass_Data[[#This Row],[Difference between MDL and GCM]]*(Mass_Data[[#This Row],[MDL axle group 5 mass]]/Mass_Data[[#This Row],[Total (1)]]))),"")</f>
        <v/>
      </c>
      <c r="AH125" s="22" t="str">
        <f>IFERROR(IF(Mass_Data[[#This Row],[Check (1)]]="YES",Mass_Data[[#This Row],[MDL axle group 6 mass]],Mass_Data[[#This Row],[MDL axle group 6 mass]]-(Mass_Data[[#This Row],[Difference between MDL and GCM]]*(Mass_Data[[#This Row],[MDL axle group 6 mass]]/Mass_Data[[#This Row],[Total (1)]]))),"")</f>
        <v/>
      </c>
      <c r="AI125" s="22" t="str">
        <f>IFERROR(IF(Mass_Data[[#This Row],[Check (1)]]="YES",Mass_Data[[#This Row],[MDL axle group 7 mass]],Mass_Data[[#This Row],[MDL axle group 7 mass]]-(Mass_Data[[#This Row],[Difference between MDL and GCM]]*(Mass_Data[[#This Row],[MDL axle group 7 mass]]/Mass_Data[[#This Row],[Total (1)]]))),"")</f>
        <v/>
      </c>
      <c r="AJ125" s="81">
        <f>SUM(Mass_Data[[#This Row],[Corrected axle group 1 mass]:[Corrected axle group 7 mass]])</f>
        <v>15</v>
      </c>
      <c r="AK125">
        <f>Mass_Data[[#This Row],[Total (2)]]-Mass_Data[[#This Row],[GCM (t)]]</f>
        <v>0</v>
      </c>
      <c r="AL125" s="22" t="str">
        <f>IF(Mass_Data[[#This Row],[Difference between MDL and corrected axle masses]]=0,"YES","NO")</f>
        <v>YES</v>
      </c>
    </row>
    <row r="126" spans="3:38" x14ac:dyDescent="0.35">
      <c r="C126" s="10" t="str">
        <f t="shared" si="1"/>
        <v>Conventional - 3-Axle Rigid (GML)</v>
      </c>
      <c r="D126" s="10" t="s">
        <v>218</v>
      </c>
      <c r="E126" s="10" t="s">
        <v>220</v>
      </c>
      <c r="F126" s="11" t="s">
        <v>18</v>
      </c>
      <c r="G126" s="11" t="s">
        <v>202</v>
      </c>
      <c r="H126" t="s">
        <v>52</v>
      </c>
      <c r="I126" s="9">
        <v>22.5</v>
      </c>
      <c r="J126" s="14">
        <v>11.886088768115943</v>
      </c>
      <c r="K126" s="14">
        <f>Mass_Data[[#This Row],[GCM (t)]]-Mass_Data[[#This Row],[Payload (t)]]</f>
        <v>10.613911231884057</v>
      </c>
      <c r="L126" t="s">
        <v>8</v>
      </c>
      <c r="M126" t="s">
        <v>9</v>
      </c>
      <c r="N126">
        <v>0</v>
      </c>
      <c r="O126">
        <v>0</v>
      </c>
      <c r="P126">
        <v>0</v>
      </c>
      <c r="Q126">
        <v>0</v>
      </c>
      <c r="R126">
        <v>0</v>
      </c>
      <c r="S126" cm="1">
        <f t="array" ref="S126">_xlfn.XLOOKUP(Mass_Data[[#This Row],[axle group 1]]&amp;Mass_Data[[#This Row],[Mass Scheme]],Axle_Data[Axle Code]&amp;Axle_Data[Mass Scheme],Axle_Data[MDL Maximum Mass (t)],"",0)</f>
        <v>6.5</v>
      </c>
      <c r="T126" cm="1">
        <f t="array" ref="T126">_xlfn.XLOOKUP(Mass_Data[[#This Row],[axle group 2]]&amp;Mass_Data[[#This Row],[Mass Scheme]],Axle_Data[Axle Code]&amp;Axle_Data[Mass Scheme],Axle_Data[MDL Maximum Mass (t)],"",0)</f>
        <v>16.5</v>
      </c>
      <c r="U126" t="str" cm="1">
        <f t="array" ref="U126">_xlfn.XLOOKUP(Mass_Data[[#This Row],[axle group 3]]&amp;Mass_Data[[#This Row],[Mass Scheme]],Axle_Data[Axle Code]&amp;Axle_Data[Mass Scheme],Axle_Data[MDL Maximum Mass (t)],"",0)</f>
        <v/>
      </c>
      <c r="V126" t="str" cm="1">
        <f t="array" ref="V126">_xlfn.XLOOKUP(Mass_Data[[#This Row],[axle group 4]]&amp;Mass_Data[[#This Row],[Mass Scheme]],Axle_Data[Axle Code]&amp;Axle_Data[Mass Scheme],Axle_Data[MDL Maximum Mass (t)],"",0)</f>
        <v/>
      </c>
      <c r="W126" t="str" cm="1">
        <f t="array" ref="W126">_xlfn.XLOOKUP(Mass_Data[[#This Row],[axle group 5]]&amp;Mass_Data[[#This Row],[Mass Scheme]],Axle_Data[Axle Code]&amp;Axle_Data[Mass Scheme],Axle_Data[MDL Maximum Mass (t)],"",0)</f>
        <v/>
      </c>
      <c r="X126" t="str" cm="1">
        <f t="array" ref="X126">_xlfn.XLOOKUP(Mass_Data[[#This Row],[axle group 6]]&amp;Mass_Data[[#This Row],[Mass Scheme]],Axle_Data[Axle Code]&amp;Axle_Data[Mass Scheme],Axle_Data[MDL Maximum Mass (t)],"",0)</f>
        <v/>
      </c>
      <c r="Y126" t="str" cm="1">
        <f t="array" ref="Y126">_xlfn.XLOOKUP(Mass_Data[[#This Row],[axle group 7]]&amp;Mass_Data[[#This Row],[Mass Scheme]],Axle_Data[Axle Code]&amp;Axle_Data[Mass Scheme],Axle_Data[MDL Maximum Mass (t)],"",0)</f>
        <v/>
      </c>
      <c r="Z126" s="81">
        <f>SUM(Mass_Data[[#This Row],[MDL axle group 1 mass]:[MDL axle group 7 mass]])</f>
        <v>23</v>
      </c>
      <c r="AA126">
        <f>Mass_Data[[#This Row],[Total (1)]]-Mass_Data[[#This Row],[GCM (t)]]</f>
        <v>0.5</v>
      </c>
      <c r="AB126" t="str">
        <f>IF(Mass_Data[[#This Row],[Difference between MDL and GCM]]=0,"YES","NO")</f>
        <v>NO</v>
      </c>
      <c r="AC126" s="22">
        <f>IFERROR(IF(Mass_Data[[#This Row],[Check (1)]]="YES",Mass_Data[[#This Row],[MDL axle group 1 mass]],Mass_Data[[#This Row],[MDL axle group 1 mass]]-(Mass_Data[[#This Row],[Difference between MDL and GCM]]*(Mass_Data[[#This Row],[MDL axle group 1 mass]]/Mass_Data[[#This Row],[Total (1)]]))),"")</f>
        <v>6.3586956521739131</v>
      </c>
      <c r="AD126" s="22">
        <f>IFERROR(IF(Mass_Data[[#This Row],[Check (1)]]="YES",Mass_Data[[#This Row],[MDL axle group 2 mass]],Mass_Data[[#This Row],[MDL axle group 2 mass]]-(Mass_Data[[#This Row],[Difference between MDL and GCM]]*(Mass_Data[[#This Row],[MDL axle group 2 mass]]/Mass_Data[[#This Row],[Total (1)]]))),"")</f>
        <v>16.141304347826086</v>
      </c>
      <c r="AE126" s="22" t="str">
        <f>IFERROR(IF(Mass_Data[[#This Row],[Check (1)]]="YES",Mass_Data[[#This Row],[MDL axle group 3 mass]],Mass_Data[[#This Row],[MDL axle group 3 mass]]-(Mass_Data[[#This Row],[Difference between MDL and GCM]]*(Mass_Data[[#This Row],[MDL axle group 3 mass]]/Mass_Data[[#This Row],[Total (1)]]))),"")</f>
        <v/>
      </c>
      <c r="AF126" s="22" t="str">
        <f>IFERROR(IF(Mass_Data[[#This Row],[Check (1)]]="YES",Mass_Data[[#This Row],[MDL axle group 4 mass]],Mass_Data[[#This Row],[MDL axle group 4 mass]]-(Mass_Data[[#This Row],[Difference between MDL and GCM]]*(Mass_Data[[#This Row],[MDL axle group 4 mass]]/Mass_Data[[#This Row],[Total (1)]]))),"")</f>
        <v/>
      </c>
      <c r="AG126" s="22" t="str">
        <f>IFERROR(IF(Mass_Data[[#This Row],[Check (1)]]="YES",Mass_Data[[#This Row],[MDL axle group 5 mass]],Mass_Data[[#This Row],[MDL axle group 5 mass]]-(Mass_Data[[#This Row],[Difference between MDL and GCM]]*(Mass_Data[[#This Row],[MDL axle group 5 mass]]/Mass_Data[[#This Row],[Total (1)]]))),"")</f>
        <v/>
      </c>
      <c r="AH126" s="22" t="str">
        <f>IFERROR(IF(Mass_Data[[#This Row],[Check (1)]]="YES",Mass_Data[[#This Row],[MDL axle group 6 mass]],Mass_Data[[#This Row],[MDL axle group 6 mass]]-(Mass_Data[[#This Row],[Difference between MDL and GCM]]*(Mass_Data[[#This Row],[MDL axle group 6 mass]]/Mass_Data[[#This Row],[Total (1)]]))),"")</f>
        <v/>
      </c>
      <c r="AI126" s="22" t="str">
        <f>IFERROR(IF(Mass_Data[[#This Row],[Check (1)]]="YES",Mass_Data[[#This Row],[MDL axle group 7 mass]],Mass_Data[[#This Row],[MDL axle group 7 mass]]-(Mass_Data[[#This Row],[Difference between MDL and GCM]]*(Mass_Data[[#This Row],[MDL axle group 7 mass]]/Mass_Data[[#This Row],[Total (1)]]))),"")</f>
        <v/>
      </c>
      <c r="AJ126" s="81">
        <f>SUM(Mass_Data[[#This Row],[Corrected axle group 1 mass]:[Corrected axle group 7 mass]])</f>
        <v>22.5</v>
      </c>
      <c r="AK126">
        <f>Mass_Data[[#This Row],[Total (2)]]-Mass_Data[[#This Row],[GCM (t)]]</f>
        <v>0</v>
      </c>
      <c r="AL126" s="22" t="str">
        <f>IF(Mass_Data[[#This Row],[Difference between MDL and corrected axle masses]]=0,"YES","NO")</f>
        <v>YES</v>
      </c>
    </row>
    <row r="127" spans="3:38" x14ac:dyDescent="0.35">
      <c r="C127" s="10" t="str">
        <f t="shared" si="1"/>
        <v>Conventional - 3-Axle Rigid (CML)</v>
      </c>
      <c r="D127" s="10" t="s">
        <v>218</v>
      </c>
      <c r="E127" s="10" t="s">
        <v>220</v>
      </c>
      <c r="F127" s="11" t="s">
        <v>20</v>
      </c>
      <c r="G127" s="11" t="s">
        <v>202</v>
      </c>
      <c r="H127" t="s">
        <v>52</v>
      </c>
      <c r="I127" s="9">
        <v>23</v>
      </c>
      <c r="J127" s="14">
        <v>12.386088768115943</v>
      </c>
      <c r="K127" s="14">
        <f>Mass_Data[[#This Row],[GCM (t)]]-Mass_Data[[#This Row],[Payload (t)]]</f>
        <v>10.613911231884057</v>
      </c>
      <c r="L127" t="s">
        <v>8</v>
      </c>
      <c r="M127" t="s">
        <v>9</v>
      </c>
      <c r="N127">
        <v>0</v>
      </c>
      <c r="O127">
        <v>0</v>
      </c>
      <c r="P127">
        <v>0</v>
      </c>
      <c r="Q127">
        <v>0</v>
      </c>
      <c r="R127">
        <v>0</v>
      </c>
      <c r="S127" cm="1">
        <f t="array" ref="S127">_xlfn.XLOOKUP(Mass_Data[[#This Row],[axle group 1]]&amp;Mass_Data[[#This Row],[Mass Scheme]],Axle_Data[Axle Code]&amp;Axle_Data[Mass Scheme],Axle_Data[MDL Maximum Mass (t)],"",0)</f>
        <v>6.5</v>
      </c>
      <c r="T127" cm="1">
        <f t="array" ref="T127">_xlfn.XLOOKUP(Mass_Data[[#This Row],[axle group 2]]&amp;Mass_Data[[#This Row],[Mass Scheme]],Axle_Data[Axle Code]&amp;Axle_Data[Mass Scheme],Axle_Data[MDL Maximum Mass (t)],"",0)</f>
        <v>17</v>
      </c>
      <c r="U127" t="str" cm="1">
        <f t="array" ref="U127">_xlfn.XLOOKUP(Mass_Data[[#This Row],[axle group 3]]&amp;Mass_Data[[#This Row],[Mass Scheme]],Axle_Data[Axle Code]&amp;Axle_Data[Mass Scheme],Axle_Data[MDL Maximum Mass (t)],"",0)</f>
        <v/>
      </c>
      <c r="V127" t="str" cm="1">
        <f t="array" ref="V127">_xlfn.XLOOKUP(Mass_Data[[#This Row],[axle group 4]]&amp;Mass_Data[[#This Row],[Mass Scheme]],Axle_Data[Axle Code]&amp;Axle_Data[Mass Scheme],Axle_Data[MDL Maximum Mass (t)],"",0)</f>
        <v/>
      </c>
      <c r="W127" t="str" cm="1">
        <f t="array" ref="W127">_xlfn.XLOOKUP(Mass_Data[[#This Row],[axle group 5]]&amp;Mass_Data[[#This Row],[Mass Scheme]],Axle_Data[Axle Code]&amp;Axle_Data[Mass Scheme],Axle_Data[MDL Maximum Mass (t)],"",0)</f>
        <v/>
      </c>
      <c r="X127" t="str" cm="1">
        <f t="array" ref="X127">_xlfn.XLOOKUP(Mass_Data[[#This Row],[axle group 6]]&amp;Mass_Data[[#This Row],[Mass Scheme]],Axle_Data[Axle Code]&amp;Axle_Data[Mass Scheme],Axle_Data[MDL Maximum Mass (t)],"",0)</f>
        <v/>
      </c>
      <c r="Y127" t="str" cm="1">
        <f t="array" ref="Y127">_xlfn.XLOOKUP(Mass_Data[[#This Row],[axle group 7]]&amp;Mass_Data[[#This Row],[Mass Scheme]],Axle_Data[Axle Code]&amp;Axle_Data[Mass Scheme],Axle_Data[MDL Maximum Mass (t)],"",0)</f>
        <v/>
      </c>
      <c r="Z127" s="81">
        <f>SUM(Mass_Data[[#This Row],[MDL axle group 1 mass]:[MDL axle group 7 mass]])</f>
        <v>23.5</v>
      </c>
      <c r="AA127">
        <f>Mass_Data[[#This Row],[Total (1)]]-Mass_Data[[#This Row],[GCM (t)]]</f>
        <v>0.5</v>
      </c>
      <c r="AB127" t="str">
        <f>IF(Mass_Data[[#This Row],[Difference between MDL and GCM]]=0,"YES","NO")</f>
        <v>NO</v>
      </c>
      <c r="AC127" s="22">
        <f>IFERROR(IF(Mass_Data[[#This Row],[Check (1)]]="YES",Mass_Data[[#This Row],[MDL axle group 1 mass]],Mass_Data[[#This Row],[MDL axle group 1 mass]]-(Mass_Data[[#This Row],[Difference between MDL and GCM]]*(Mass_Data[[#This Row],[MDL axle group 1 mass]]/Mass_Data[[#This Row],[Total (1)]]))),"")</f>
        <v>6.3617021276595747</v>
      </c>
      <c r="AD127" s="22">
        <f>IFERROR(IF(Mass_Data[[#This Row],[Check (1)]]="YES",Mass_Data[[#This Row],[MDL axle group 2 mass]],Mass_Data[[#This Row],[MDL axle group 2 mass]]-(Mass_Data[[#This Row],[Difference between MDL and GCM]]*(Mass_Data[[#This Row],[MDL axle group 2 mass]]/Mass_Data[[#This Row],[Total (1)]]))),"")</f>
        <v>16.638297872340427</v>
      </c>
      <c r="AE127" s="22" t="str">
        <f>IFERROR(IF(Mass_Data[[#This Row],[Check (1)]]="YES",Mass_Data[[#This Row],[MDL axle group 3 mass]],Mass_Data[[#This Row],[MDL axle group 3 mass]]-(Mass_Data[[#This Row],[Difference between MDL and GCM]]*(Mass_Data[[#This Row],[MDL axle group 3 mass]]/Mass_Data[[#This Row],[Total (1)]]))),"")</f>
        <v/>
      </c>
      <c r="AF127" s="22" t="str">
        <f>IFERROR(IF(Mass_Data[[#This Row],[Check (1)]]="YES",Mass_Data[[#This Row],[MDL axle group 4 mass]],Mass_Data[[#This Row],[MDL axle group 4 mass]]-(Mass_Data[[#This Row],[Difference between MDL and GCM]]*(Mass_Data[[#This Row],[MDL axle group 4 mass]]/Mass_Data[[#This Row],[Total (1)]]))),"")</f>
        <v/>
      </c>
      <c r="AG127" s="22" t="str">
        <f>IFERROR(IF(Mass_Data[[#This Row],[Check (1)]]="YES",Mass_Data[[#This Row],[MDL axle group 5 mass]],Mass_Data[[#This Row],[MDL axle group 5 mass]]-(Mass_Data[[#This Row],[Difference between MDL and GCM]]*(Mass_Data[[#This Row],[MDL axle group 5 mass]]/Mass_Data[[#This Row],[Total (1)]]))),"")</f>
        <v/>
      </c>
      <c r="AH127" s="22" t="str">
        <f>IFERROR(IF(Mass_Data[[#This Row],[Check (1)]]="YES",Mass_Data[[#This Row],[MDL axle group 6 mass]],Mass_Data[[#This Row],[MDL axle group 6 mass]]-(Mass_Data[[#This Row],[Difference between MDL and GCM]]*(Mass_Data[[#This Row],[MDL axle group 6 mass]]/Mass_Data[[#This Row],[Total (1)]]))),"")</f>
        <v/>
      </c>
      <c r="AI127" s="22" t="str">
        <f>IFERROR(IF(Mass_Data[[#This Row],[Check (1)]]="YES",Mass_Data[[#This Row],[MDL axle group 7 mass]],Mass_Data[[#This Row],[MDL axle group 7 mass]]-(Mass_Data[[#This Row],[Difference between MDL and GCM]]*(Mass_Data[[#This Row],[MDL axle group 7 mass]]/Mass_Data[[#This Row],[Total (1)]]))),"")</f>
        <v/>
      </c>
      <c r="AJ127" s="81">
        <f>SUM(Mass_Data[[#This Row],[Corrected axle group 1 mass]:[Corrected axle group 7 mass]])</f>
        <v>23</v>
      </c>
      <c r="AK127">
        <f>Mass_Data[[#This Row],[Total (2)]]-Mass_Data[[#This Row],[GCM (t)]]</f>
        <v>0</v>
      </c>
      <c r="AL127" s="22" t="str">
        <f>IF(Mass_Data[[#This Row],[Difference between MDL and corrected axle masses]]=0,"YES","NO")</f>
        <v>YES</v>
      </c>
    </row>
    <row r="128" spans="3:38" x14ac:dyDescent="0.35">
      <c r="C128" s="10" t="str">
        <f t="shared" si="1"/>
        <v>Conventional - 4-Axle Rigid (GML)</v>
      </c>
      <c r="D128" s="10" t="s">
        <v>216</v>
      </c>
      <c r="E128" s="10" t="s">
        <v>220</v>
      </c>
      <c r="F128" s="11" t="s">
        <v>18</v>
      </c>
      <c r="G128" s="11" t="s">
        <v>202</v>
      </c>
      <c r="H128" t="s">
        <v>132</v>
      </c>
      <c r="I128" s="9">
        <v>26</v>
      </c>
      <c r="J128" s="14">
        <v>13.325541463414629</v>
      </c>
      <c r="K128" s="14">
        <f>Mass_Data[[#This Row],[GCM (t)]]-Mass_Data[[#This Row],[Payload (t)]]</f>
        <v>12.674458536585371</v>
      </c>
      <c r="L128" t="s">
        <v>8</v>
      </c>
      <c r="M128" t="s">
        <v>10</v>
      </c>
      <c r="N128">
        <v>0</v>
      </c>
      <c r="O128">
        <v>0</v>
      </c>
      <c r="P128">
        <v>0</v>
      </c>
      <c r="Q128">
        <v>0</v>
      </c>
      <c r="R128">
        <v>0</v>
      </c>
      <c r="S128" cm="1">
        <f t="array" ref="S128">_xlfn.XLOOKUP(Mass_Data[[#This Row],[axle group 1]]&amp;Mass_Data[[#This Row],[Mass Scheme]],Axle_Data[Axle Code]&amp;Axle_Data[Mass Scheme],Axle_Data[MDL Maximum Mass (t)],"",0)</f>
        <v>6.5</v>
      </c>
      <c r="T128" cm="1">
        <f t="array" ref="T128">_xlfn.XLOOKUP(Mass_Data[[#This Row],[axle group 2]]&amp;Mass_Data[[#This Row],[Mass Scheme]],Axle_Data[Axle Code]&amp;Axle_Data[Mass Scheme],Axle_Data[MDL Maximum Mass (t)],"",0)</f>
        <v>20</v>
      </c>
      <c r="U128" t="str" cm="1">
        <f t="array" ref="U128">_xlfn.XLOOKUP(Mass_Data[[#This Row],[axle group 3]]&amp;Mass_Data[[#This Row],[Mass Scheme]],Axle_Data[Axle Code]&amp;Axle_Data[Mass Scheme],Axle_Data[MDL Maximum Mass (t)],"",0)</f>
        <v/>
      </c>
      <c r="V128" t="str" cm="1">
        <f t="array" ref="V128">_xlfn.XLOOKUP(Mass_Data[[#This Row],[axle group 4]]&amp;Mass_Data[[#This Row],[Mass Scheme]],Axle_Data[Axle Code]&amp;Axle_Data[Mass Scheme],Axle_Data[MDL Maximum Mass (t)],"",0)</f>
        <v/>
      </c>
      <c r="W128" t="str" cm="1">
        <f t="array" ref="W128">_xlfn.XLOOKUP(Mass_Data[[#This Row],[axle group 5]]&amp;Mass_Data[[#This Row],[Mass Scheme]],Axle_Data[Axle Code]&amp;Axle_Data[Mass Scheme],Axle_Data[MDL Maximum Mass (t)],"",0)</f>
        <v/>
      </c>
      <c r="X128" t="str" cm="1">
        <f t="array" ref="X128">_xlfn.XLOOKUP(Mass_Data[[#This Row],[axle group 6]]&amp;Mass_Data[[#This Row],[Mass Scheme]],Axle_Data[Axle Code]&amp;Axle_Data[Mass Scheme],Axle_Data[MDL Maximum Mass (t)],"",0)</f>
        <v/>
      </c>
      <c r="Y128" t="str" cm="1">
        <f t="array" ref="Y128">_xlfn.XLOOKUP(Mass_Data[[#This Row],[axle group 7]]&amp;Mass_Data[[#This Row],[Mass Scheme]],Axle_Data[Axle Code]&amp;Axle_Data[Mass Scheme],Axle_Data[MDL Maximum Mass (t)],"",0)</f>
        <v/>
      </c>
      <c r="Z128" s="81">
        <f>SUM(Mass_Data[[#This Row],[MDL axle group 1 mass]:[MDL axle group 7 mass]])</f>
        <v>26.5</v>
      </c>
      <c r="AA128">
        <f>Mass_Data[[#This Row],[Total (1)]]-Mass_Data[[#This Row],[GCM (t)]]</f>
        <v>0.5</v>
      </c>
      <c r="AB128" t="str">
        <f>IF(Mass_Data[[#This Row],[Difference between MDL and GCM]]=0,"YES","NO")</f>
        <v>NO</v>
      </c>
      <c r="AC128" s="22">
        <f>IFERROR(IF(Mass_Data[[#This Row],[Check (1)]]="YES",Mass_Data[[#This Row],[MDL axle group 1 mass]],Mass_Data[[#This Row],[MDL axle group 1 mass]]-(Mass_Data[[#This Row],[Difference between MDL and GCM]]*(Mass_Data[[#This Row],[MDL axle group 1 mass]]/Mass_Data[[#This Row],[Total (1)]]))),"")</f>
        <v>6.3773584905660377</v>
      </c>
      <c r="AD128" s="22">
        <f>IFERROR(IF(Mass_Data[[#This Row],[Check (1)]]="YES",Mass_Data[[#This Row],[MDL axle group 2 mass]],Mass_Data[[#This Row],[MDL axle group 2 mass]]-(Mass_Data[[#This Row],[Difference between MDL and GCM]]*(Mass_Data[[#This Row],[MDL axle group 2 mass]]/Mass_Data[[#This Row],[Total (1)]]))),"")</f>
        <v>19.622641509433961</v>
      </c>
      <c r="AE128" s="22" t="str">
        <f>IFERROR(IF(Mass_Data[[#This Row],[Check (1)]]="YES",Mass_Data[[#This Row],[MDL axle group 3 mass]],Mass_Data[[#This Row],[MDL axle group 3 mass]]-(Mass_Data[[#This Row],[Difference between MDL and GCM]]*(Mass_Data[[#This Row],[MDL axle group 3 mass]]/Mass_Data[[#This Row],[Total (1)]]))),"")</f>
        <v/>
      </c>
      <c r="AF128" s="22" t="str">
        <f>IFERROR(IF(Mass_Data[[#This Row],[Check (1)]]="YES",Mass_Data[[#This Row],[MDL axle group 4 mass]],Mass_Data[[#This Row],[MDL axle group 4 mass]]-(Mass_Data[[#This Row],[Difference between MDL and GCM]]*(Mass_Data[[#This Row],[MDL axle group 4 mass]]/Mass_Data[[#This Row],[Total (1)]]))),"")</f>
        <v/>
      </c>
      <c r="AG128" s="22" t="str">
        <f>IFERROR(IF(Mass_Data[[#This Row],[Check (1)]]="YES",Mass_Data[[#This Row],[MDL axle group 5 mass]],Mass_Data[[#This Row],[MDL axle group 5 mass]]-(Mass_Data[[#This Row],[Difference between MDL and GCM]]*(Mass_Data[[#This Row],[MDL axle group 5 mass]]/Mass_Data[[#This Row],[Total (1)]]))),"")</f>
        <v/>
      </c>
      <c r="AH128" s="22" t="str">
        <f>IFERROR(IF(Mass_Data[[#This Row],[Check (1)]]="YES",Mass_Data[[#This Row],[MDL axle group 6 mass]],Mass_Data[[#This Row],[MDL axle group 6 mass]]-(Mass_Data[[#This Row],[Difference between MDL and GCM]]*(Mass_Data[[#This Row],[MDL axle group 6 mass]]/Mass_Data[[#This Row],[Total (1)]]))),"")</f>
        <v/>
      </c>
      <c r="AI128" s="22" t="str">
        <f>IFERROR(IF(Mass_Data[[#This Row],[Check (1)]]="YES",Mass_Data[[#This Row],[MDL axle group 7 mass]],Mass_Data[[#This Row],[MDL axle group 7 mass]]-(Mass_Data[[#This Row],[Difference between MDL and GCM]]*(Mass_Data[[#This Row],[MDL axle group 7 mass]]/Mass_Data[[#This Row],[Total (1)]]))),"")</f>
        <v/>
      </c>
      <c r="AJ128" s="81">
        <f>SUM(Mass_Data[[#This Row],[Corrected axle group 1 mass]:[Corrected axle group 7 mass]])</f>
        <v>26</v>
      </c>
      <c r="AK128">
        <f>Mass_Data[[#This Row],[Total (2)]]-Mass_Data[[#This Row],[GCM (t)]]</f>
        <v>0</v>
      </c>
      <c r="AL128" s="22" t="str">
        <f>IF(Mass_Data[[#This Row],[Difference between MDL and corrected axle masses]]=0,"YES","NO")</f>
        <v>YES</v>
      </c>
    </row>
    <row r="129" spans="3:38" x14ac:dyDescent="0.35">
      <c r="C129" s="10" t="str">
        <f t="shared" si="1"/>
        <v>Conventional - 4-Axle Rigid (CML)</v>
      </c>
      <c r="D129" s="10" t="s">
        <v>216</v>
      </c>
      <c r="E129" s="10" t="s">
        <v>220</v>
      </c>
      <c r="F129" s="11" t="s">
        <v>20</v>
      </c>
      <c r="G129" s="11" t="s">
        <v>202</v>
      </c>
      <c r="H129" t="s">
        <v>132</v>
      </c>
      <c r="I129" s="9">
        <v>27</v>
      </c>
      <c r="J129" s="14">
        <v>14.325541463414629</v>
      </c>
      <c r="K129" s="14">
        <f>Mass_Data[[#This Row],[GCM (t)]]-Mass_Data[[#This Row],[Payload (t)]]</f>
        <v>12.674458536585371</v>
      </c>
      <c r="L129" t="s">
        <v>8</v>
      </c>
      <c r="M129" t="s">
        <v>10</v>
      </c>
      <c r="N129">
        <v>0</v>
      </c>
      <c r="O129">
        <v>0</v>
      </c>
      <c r="P129">
        <v>0</v>
      </c>
      <c r="Q129">
        <v>0</v>
      </c>
      <c r="R129">
        <v>0</v>
      </c>
      <c r="S129" cm="1">
        <f t="array" ref="S129">_xlfn.XLOOKUP(Mass_Data[[#This Row],[axle group 1]]&amp;Mass_Data[[#This Row],[Mass Scheme]],Axle_Data[Axle Code]&amp;Axle_Data[Mass Scheme],Axle_Data[MDL Maximum Mass (t)],"",0)</f>
        <v>6.5</v>
      </c>
      <c r="T129" cm="1">
        <f t="array" ref="T129">_xlfn.XLOOKUP(Mass_Data[[#This Row],[axle group 2]]&amp;Mass_Data[[#This Row],[Mass Scheme]],Axle_Data[Axle Code]&amp;Axle_Data[Mass Scheme],Axle_Data[MDL Maximum Mass (t)],"",0)</f>
        <v>21</v>
      </c>
      <c r="U129" t="str" cm="1">
        <f t="array" ref="U129">_xlfn.XLOOKUP(Mass_Data[[#This Row],[axle group 3]]&amp;Mass_Data[[#This Row],[Mass Scheme]],Axle_Data[Axle Code]&amp;Axle_Data[Mass Scheme],Axle_Data[MDL Maximum Mass (t)],"",0)</f>
        <v/>
      </c>
      <c r="V129" t="str" cm="1">
        <f t="array" ref="V129">_xlfn.XLOOKUP(Mass_Data[[#This Row],[axle group 4]]&amp;Mass_Data[[#This Row],[Mass Scheme]],Axle_Data[Axle Code]&amp;Axle_Data[Mass Scheme],Axle_Data[MDL Maximum Mass (t)],"",0)</f>
        <v/>
      </c>
      <c r="W129" t="str" cm="1">
        <f t="array" ref="W129">_xlfn.XLOOKUP(Mass_Data[[#This Row],[axle group 5]]&amp;Mass_Data[[#This Row],[Mass Scheme]],Axle_Data[Axle Code]&amp;Axle_Data[Mass Scheme],Axle_Data[MDL Maximum Mass (t)],"",0)</f>
        <v/>
      </c>
      <c r="X129" t="str" cm="1">
        <f t="array" ref="X129">_xlfn.XLOOKUP(Mass_Data[[#This Row],[axle group 6]]&amp;Mass_Data[[#This Row],[Mass Scheme]],Axle_Data[Axle Code]&amp;Axle_Data[Mass Scheme],Axle_Data[MDL Maximum Mass (t)],"",0)</f>
        <v/>
      </c>
      <c r="Y129" t="str" cm="1">
        <f t="array" ref="Y129">_xlfn.XLOOKUP(Mass_Data[[#This Row],[axle group 7]]&amp;Mass_Data[[#This Row],[Mass Scheme]],Axle_Data[Axle Code]&amp;Axle_Data[Mass Scheme],Axle_Data[MDL Maximum Mass (t)],"",0)</f>
        <v/>
      </c>
      <c r="Z129" s="81">
        <f>SUM(Mass_Data[[#This Row],[MDL axle group 1 mass]:[MDL axle group 7 mass]])</f>
        <v>27.5</v>
      </c>
      <c r="AA129">
        <f>Mass_Data[[#This Row],[Total (1)]]-Mass_Data[[#This Row],[GCM (t)]]</f>
        <v>0.5</v>
      </c>
      <c r="AB129" t="str">
        <f>IF(Mass_Data[[#This Row],[Difference between MDL and GCM]]=0,"YES","NO")</f>
        <v>NO</v>
      </c>
      <c r="AC129" s="22">
        <f>IFERROR(IF(Mass_Data[[#This Row],[Check (1)]]="YES",Mass_Data[[#This Row],[MDL axle group 1 mass]],Mass_Data[[#This Row],[MDL axle group 1 mass]]-(Mass_Data[[#This Row],[Difference between MDL and GCM]]*(Mass_Data[[#This Row],[MDL axle group 1 mass]]/Mass_Data[[#This Row],[Total (1)]]))),"")</f>
        <v>6.3818181818181818</v>
      </c>
      <c r="AD129" s="22">
        <f>IFERROR(IF(Mass_Data[[#This Row],[Check (1)]]="YES",Mass_Data[[#This Row],[MDL axle group 2 mass]],Mass_Data[[#This Row],[MDL axle group 2 mass]]-(Mass_Data[[#This Row],[Difference between MDL and GCM]]*(Mass_Data[[#This Row],[MDL axle group 2 mass]]/Mass_Data[[#This Row],[Total (1)]]))),"")</f>
        <v>20.618181818181817</v>
      </c>
      <c r="AE129" s="22" t="str">
        <f>IFERROR(IF(Mass_Data[[#This Row],[Check (1)]]="YES",Mass_Data[[#This Row],[MDL axle group 3 mass]],Mass_Data[[#This Row],[MDL axle group 3 mass]]-(Mass_Data[[#This Row],[Difference between MDL and GCM]]*(Mass_Data[[#This Row],[MDL axle group 3 mass]]/Mass_Data[[#This Row],[Total (1)]]))),"")</f>
        <v/>
      </c>
      <c r="AF129" s="22" t="str">
        <f>IFERROR(IF(Mass_Data[[#This Row],[Check (1)]]="YES",Mass_Data[[#This Row],[MDL axle group 4 mass]],Mass_Data[[#This Row],[MDL axle group 4 mass]]-(Mass_Data[[#This Row],[Difference between MDL and GCM]]*(Mass_Data[[#This Row],[MDL axle group 4 mass]]/Mass_Data[[#This Row],[Total (1)]]))),"")</f>
        <v/>
      </c>
      <c r="AG129" s="22" t="str">
        <f>IFERROR(IF(Mass_Data[[#This Row],[Check (1)]]="YES",Mass_Data[[#This Row],[MDL axle group 5 mass]],Mass_Data[[#This Row],[MDL axle group 5 mass]]-(Mass_Data[[#This Row],[Difference between MDL and GCM]]*(Mass_Data[[#This Row],[MDL axle group 5 mass]]/Mass_Data[[#This Row],[Total (1)]]))),"")</f>
        <v/>
      </c>
      <c r="AH129" s="22" t="str">
        <f>IFERROR(IF(Mass_Data[[#This Row],[Check (1)]]="YES",Mass_Data[[#This Row],[MDL axle group 6 mass]],Mass_Data[[#This Row],[MDL axle group 6 mass]]-(Mass_Data[[#This Row],[Difference between MDL and GCM]]*(Mass_Data[[#This Row],[MDL axle group 6 mass]]/Mass_Data[[#This Row],[Total (1)]]))),"")</f>
        <v/>
      </c>
      <c r="AI129" s="22" t="str">
        <f>IFERROR(IF(Mass_Data[[#This Row],[Check (1)]]="YES",Mass_Data[[#This Row],[MDL axle group 7 mass]],Mass_Data[[#This Row],[MDL axle group 7 mass]]-(Mass_Data[[#This Row],[Difference between MDL and GCM]]*(Mass_Data[[#This Row],[MDL axle group 7 mass]]/Mass_Data[[#This Row],[Total (1)]]))),"")</f>
        <v/>
      </c>
      <c r="AJ129" s="81">
        <f>SUM(Mass_Data[[#This Row],[Corrected axle group 1 mass]:[Corrected axle group 7 mass]])</f>
        <v>27</v>
      </c>
      <c r="AK129">
        <f>Mass_Data[[#This Row],[Total (2)]]-Mass_Data[[#This Row],[GCM (t)]]</f>
        <v>0</v>
      </c>
      <c r="AL129" s="22" t="str">
        <f>IF(Mass_Data[[#This Row],[Difference between MDL and corrected axle masses]]=0,"YES","NO")</f>
        <v>YES</v>
      </c>
    </row>
    <row r="130" spans="3:38" x14ac:dyDescent="0.35">
      <c r="C130" s="10" t="str">
        <f t="shared" si="1"/>
        <v>Conventional - 4-Axle Twinsteer Rigid Truck (GML)</v>
      </c>
      <c r="D130" s="10" t="s">
        <v>214</v>
      </c>
      <c r="E130" s="10" t="s">
        <v>220</v>
      </c>
      <c r="F130" s="11" t="s">
        <v>18</v>
      </c>
      <c r="G130" s="11" t="s">
        <v>202</v>
      </c>
      <c r="H130" t="s">
        <v>53</v>
      </c>
      <c r="I130" s="9">
        <v>26.5</v>
      </c>
      <c r="J130" s="14">
        <v>13.825541463414629</v>
      </c>
      <c r="K130" s="14">
        <f>Mass_Data[[#This Row],[GCM (t)]]-Mass_Data[[#This Row],[Payload (t)]]</f>
        <v>12.674458536585371</v>
      </c>
      <c r="L130" t="s">
        <v>40</v>
      </c>
      <c r="M130" t="s">
        <v>30</v>
      </c>
      <c r="O130">
        <v>0</v>
      </c>
      <c r="P130">
        <v>0</v>
      </c>
      <c r="Q130">
        <v>0</v>
      </c>
      <c r="R130">
        <v>0</v>
      </c>
      <c r="S130" cm="1">
        <f t="array" ref="S130">_xlfn.XLOOKUP(Mass_Data[[#This Row],[axle group 1]]&amp;Mass_Data[[#This Row],[Mass Scheme]],Axle_Data[Axle Code]&amp;Axle_Data[Mass Scheme],Axle_Data[MDL Maximum Mass (t)],"",0)</f>
        <v>11</v>
      </c>
      <c r="T130" cm="1">
        <f t="array" ref="T130">_xlfn.XLOOKUP(Mass_Data[[#This Row],[axle group 2]]&amp;Mass_Data[[#This Row],[Mass Scheme]],Axle_Data[Axle Code]&amp;Axle_Data[Mass Scheme],Axle_Data[MDL Maximum Mass (t)],"",0)</f>
        <v>16.5</v>
      </c>
      <c r="U130" t="str" cm="1">
        <f t="array" ref="U130">_xlfn.XLOOKUP(Mass_Data[[#This Row],[axle group 3]]&amp;Mass_Data[[#This Row],[Mass Scheme]],Axle_Data[Axle Code]&amp;Axle_Data[Mass Scheme],Axle_Data[MDL Maximum Mass (t)],"",0)</f>
        <v/>
      </c>
      <c r="V130" t="str" cm="1">
        <f t="array" ref="V130">_xlfn.XLOOKUP(Mass_Data[[#This Row],[axle group 4]]&amp;Mass_Data[[#This Row],[Mass Scheme]],Axle_Data[Axle Code]&amp;Axle_Data[Mass Scheme],Axle_Data[MDL Maximum Mass (t)],"",0)</f>
        <v/>
      </c>
      <c r="W130" t="str" cm="1">
        <f t="array" ref="W130">_xlfn.XLOOKUP(Mass_Data[[#This Row],[axle group 5]]&amp;Mass_Data[[#This Row],[Mass Scheme]],Axle_Data[Axle Code]&amp;Axle_Data[Mass Scheme],Axle_Data[MDL Maximum Mass (t)],"",0)</f>
        <v/>
      </c>
      <c r="X130" t="str" cm="1">
        <f t="array" ref="X130">_xlfn.XLOOKUP(Mass_Data[[#This Row],[axle group 6]]&amp;Mass_Data[[#This Row],[Mass Scheme]],Axle_Data[Axle Code]&amp;Axle_Data[Mass Scheme],Axle_Data[MDL Maximum Mass (t)],"",0)</f>
        <v/>
      </c>
      <c r="Y130" t="str" cm="1">
        <f t="array" ref="Y130">_xlfn.XLOOKUP(Mass_Data[[#This Row],[axle group 7]]&amp;Mass_Data[[#This Row],[Mass Scheme]],Axle_Data[Axle Code]&amp;Axle_Data[Mass Scheme],Axle_Data[MDL Maximum Mass (t)],"",0)</f>
        <v/>
      </c>
      <c r="Z130" s="81">
        <f>SUM(Mass_Data[[#This Row],[MDL axle group 1 mass]:[MDL axle group 7 mass]])</f>
        <v>27.5</v>
      </c>
      <c r="AA130">
        <f>Mass_Data[[#This Row],[Total (1)]]-Mass_Data[[#This Row],[GCM (t)]]</f>
        <v>1</v>
      </c>
      <c r="AB130" t="str">
        <f>IF(Mass_Data[[#This Row],[Difference between MDL and GCM]]=0,"YES","NO")</f>
        <v>NO</v>
      </c>
      <c r="AC130" s="22">
        <f>IFERROR(IF(Mass_Data[[#This Row],[Check (1)]]="YES",Mass_Data[[#This Row],[MDL axle group 1 mass]],Mass_Data[[#This Row],[MDL axle group 1 mass]]-(Mass_Data[[#This Row],[Difference between MDL and GCM]]*(Mass_Data[[#This Row],[MDL axle group 1 mass]]/Mass_Data[[#This Row],[Total (1)]]))),"")</f>
        <v>10.6</v>
      </c>
      <c r="AD130" s="22">
        <f>IFERROR(IF(Mass_Data[[#This Row],[Check (1)]]="YES",Mass_Data[[#This Row],[MDL axle group 2 mass]],Mass_Data[[#This Row],[MDL axle group 2 mass]]-(Mass_Data[[#This Row],[Difference between MDL and GCM]]*(Mass_Data[[#This Row],[MDL axle group 2 mass]]/Mass_Data[[#This Row],[Total (1)]]))),"")</f>
        <v>15.9</v>
      </c>
      <c r="AE130" s="22" t="str">
        <f>IFERROR(IF(Mass_Data[[#This Row],[Check (1)]]="YES",Mass_Data[[#This Row],[MDL axle group 3 mass]],Mass_Data[[#This Row],[MDL axle group 3 mass]]-(Mass_Data[[#This Row],[Difference between MDL and GCM]]*(Mass_Data[[#This Row],[MDL axle group 3 mass]]/Mass_Data[[#This Row],[Total (1)]]))),"")</f>
        <v/>
      </c>
      <c r="AF130" s="22" t="str">
        <f>IFERROR(IF(Mass_Data[[#This Row],[Check (1)]]="YES",Mass_Data[[#This Row],[MDL axle group 4 mass]],Mass_Data[[#This Row],[MDL axle group 4 mass]]-(Mass_Data[[#This Row],[Difference between MDL and GCM]]*(Mass_Data[[#This Row],[MDL axle group 4 mass]]/Mass_Data[[#This Row],[Total (1)]]))),"")</f>
        <v/>
      </c>
      <c r="AG130" s="22" t="str">
        <f>IFERROR(IF(Mass_Data[[#This Row],[Check (1)]]="YES",Mass_Data[[#This Row],[MDL axle group 5 mass]],Mass_Data[[#This Row],[MDL axle group 5 mass]]-(Mass_Data[[#This Row],[Difference between MDL and GCM]]*(Mass_Data[[#This Row],[MDL axle group 5 mass]]/Mass_Data[[#This Row],[Total (1)]]))),"")</f>
        <v/>
      </c>
      <c r="AH130" s="22" t="str">
        <f>IFERROR(IF(Mass_Data[[#This Row],[Check (1)]]="YES",Mass_Data[[#This Row],[MDL axle group 6 mass]],Mass_Data[[#This Row],[MDL axle group 6 mass]]-(Mass_Data[[#This Row],[Difference between MDL and GCM]]*(Mass_Data[[#This Row],[MDL axle group 6 mass]]/Mass_Data[[#This Row],[Total (1)]]))),"")</f>
        <v/>
      </c>
      <c r="AI130" s="22" t="str">
        <f>IFERROR(IF(Mass_Data[[#This Row],[Check (1)]]="YES",Mass_Data[[#This Row],[MDL axle group 7 mass]],Mass_Data[[#This Row],[MDL axle group 7 mass]]-(Mass_Data[[#This Row],[Difference between MDL and GCM]]*(Mass_Data[[#This Row],[MDL axle group 7 mass]]/Mass_Data[[#This Row],[Total (1)]]))),"")</f>
        <v/>
      </c>
      <c r="AJ130" s="81">
        <f>SUM(Mass_Data[[#This Row],[Corrected axle group 1 mass]:[Corrected axle group 7 mass]])</f>
        <v>26.5</v>
      </c>
      <c r="AK130">
        <f>Mass_Data[[#This Row],[Total (2)]]-Mass_Data[[#This Row],[GCM (t)]]</f>
        <v>0</v>
      </c>
      <c r="AL130" s="22" t="str">
        <f>IF(Mass_Data[[#This Row],[Difference between MDL and corrected axle masses]]=0,"YES","NO")</f>
        <v>YES</v>
      </c>
    </row>
    <row r="131" spans="3:38" x14ac:dyDescent="0.35">
      <c r="C131" s="10" t="str">
        <f t="shared" si="1"/>
        <v>Conventional - 4-Axle Twinsteer Rigid Truck (CML)</v>
      </c>
      <c r="D131" s="10" t="s">
        <v>214</v>
      </c>
      <c r="E131" s="10" t="s">
        <v>220</v>
      </c>
      <c r="F131" s="11" t="s">
        <v>20</v>
      </c>
      <c r="G131" s="11" t="s">
        <v>202</v>
      </c>
      <c r="H131" t="s">
        <v>53</v>
      </c>
      <c r="I131" s="9">
        <v>27</v>
      </c>
      <c r="J131" s="14">
        <v>14.325541463414629</v>
      </c>
      <c r="K131" s="14">
        <f>Mass_Data[[#This Row],[GCM (t)]]-Mass_Data[[#This Row],[Payload (t)]]</f>
        <v>12.674458536585371</v>
      </c>
      <c r="L131" t="s">
        <v>40</v>
      </c>
      <c r="M131" t="s">
        <v>30</v>
      </c>
      <c r="O131">
        <v>0</v>
      </c>
      <c r="P131">
        <v>0</v>
      </c>
      <c r="Q131">
        <v>0</v>
      </c>
      <c r="R131">
        <v>0</v>
      </c>
      <c r="S131" cm="1">
        <f t="array" ref="S131">_xlfn.XLOOKUP(Mass_Data[[#This Row],[axle group 1]]&amp;Mass_Data[[#This Row],[Mass Scheme]],Axle_Data[Axle Code]&amp;Axle_Data[Mass Scheme],Axle_Data[MDL Maximum Mass (t)],"",0)</f>
        <v>11</v>
      </c>
      <c r="T131" cm="1">
        <f t="array" ref="T131">_xlfn.XLOOKUP(Mass_Data[[#This Row],[axle group 2]]&amp;Mass_Data[[#This Row],[Mass Scheme]],Axle_Data[Axle Code]&amp;Axle_Data[Mass Scheme],Axle_Data[MDL Maximum Mass (t)],"",0)</f>
        <v>17</v>
      </c>
      <c r="U131" t="str" cm="1">
        <f t="array" ref="U131">_xlfn.XLOOKUP(Mass_Data[[#This Row],[axle group 3]]&amp;Mass_Data[[#This Row],[Mass Scheme]],Axle_Data[Axle Code]&amp;Axle_Data[Mass Scheme],Axle_Data[MDL Maximum Mass (t)],"",0)</f>
        <v/>
      </c>
      <c r="V131" t="str" cm="1">
        <f t="array" ref="V131">_xlfn.XLOOKUP(Mass_Data[[#This Row],[axle group 4]]&amp;Mass_Data[[#This Row],[Mass Scheme]],Axle_Data[Axle Code]&amp;Axle_Data[Mass Scheme],Axle_Data[MDL Maximum Mass (t)],"",0)</f>
        <v/>
      </c>
      <c r="W131" t="str" cm="1">
        <f t="array" ref="W131">_xlfn.XLOOKUP(Mass_Data[[#This Row],[axle group 5]]&amp;Mass_Data[[#This Row],[Mass Scheme]],Axle_Data[Axle Code]&amp;Axle_Data[Mass Scheme],Axle_Data[MDL Maximum Mass (t)],"",0)</f>
        <v/>
      </c>
      <c r="X131" t="str" cm="1">
        <f t="array" ref="X131">_xlfn.XLOOKUP(Mass_Data[[#This Row],[axle group 6]]&amp;Mass_Data[[#This Row],[Mass Scheme]],Axle_Data[Axle Code]&amp;Axle_Data[Mass Scheme],Axle_Data[MDL Maximum Mass (t)],"",0)</f>
        <v/>
      </c>
      <c r="Y131" t="str" cm="1">
        <f t="array" ref="Y131">_xlfn.XLOOKUP(Mass_Data[[#This Row],[axle group 7]]&amp;Mass_Data[[#This Row],[Mass Scheme]],Axle_Data[Axle Code]&amp;Axle_Data[Mass Scheme],Axle_Data[MDL Maximum Mass (t)],"",0)</f>
        <v/>
      </c>
      <c r="Z131" s="81">
        <f>SUM(Mass_Data[[#This Row],[MDL axle group 1 mass]:[MDL axle group 7 mass]])</f>
        <v>28</v>
      </c>
      <c r="AA131">
        <f>Mass_Data[[#This Row],[Total (1)]]-Mass_Data[[#This Row],[GCM (t)]]</f>
        <v>1</v>
      </c>
      <c r="AB131" t="str">
        <f>IF(Mass_Data[[#This Row],[Difference between MDL and GCM]]=0,"YES","NO")</f>
        <v>NO</v>
      </c>
      <c r="AC131" s="22">
        <f>IFERROR(IF(Mass_Data[[#This Row],[Check (1)]]="YES",Mass_Data[[#This Row],[MDL axle group 1 mass]],Mass_Data[[#This Row],[MDL axle group 1 mass]]-(Mass_Data[[#This Row],[Difference between MDL and GCM]]*(Mass_Data[[#This Row],[MDL axle group 1 mass]]/Mass_Data[[#This Row],[Total (1)]]))),"")</f>
        <v>10.607142857142858</v>
      </c>
      <c r="AD131" s="22">
        <f>IFERROR(IF(Mass_Data[[#This Row],[Check (1)]]="YES",Mass_Data[[#This Row],[MDL axle group 2 mass]],Mass_Data[[#This Row],[MDL axle group 2 mass]]-(Mass_Data[[#This Row],[Difference between MDL and GCM]]*(Mass_Data[[#This Row],[MDL axle group 2 mass]]/Mass_Data[[#This Row],[Total (1)]]))),"")</f>
        <v>16.392857142857142</v>
      </c>
      <c r="AE131" s="22" t="str">
        <f>IFERROR(IF(Mass_Data[[#This Row],[Check (1)]]="YES",Mass_Data[[#This Row],[MDL axle group 3 mass]],Mass_Data[[#This Row],[MDL axle group 3 mass]]-(Mass_Data[[#This Row],[Difference between MDL and GCM]]*(Mass_Data[[#This Row],[MDL axle group 3 mass]]/Mass_Data[[#This Row],[Total (1)]]))),"")</f>
        <v/>
      </c>
      <c r="AF131" s="22" t="str">
        <f>IFERROR(IF(Mass_Data[[#This Row],[Check (1)]]="YES",Mass_Data[[#This Row],[MDL axle group 4 mass]],Mass_Data[[#This Row],[MDL axle group 4 mass]]-(Mass_Data[[#This Row],[Difference between MDL and GCM]]*(Mass_Data[[#This Row],[MDL axle group 4 mass]]/Mass_Data[[#This Row],[Total (1)]]))),"")</f>
        <v/>
      </c>
      <c r="AG131" s="22" t="str">
        <f>IFERROR(IF(Mass_Data[[#This Row],[Check (1)]]="YES",Mass_Data[[#This Row],[MDL axle group 5 mass]],Mass_Data[[#This Row],[MDL axle group 5 mass]]-(Mass_Data[[#This Row],[Difference between MDL and GCM]]*(Mass_Data[[#This Row],[MDL axle group 5 mass]]/Mass_Data[[#This Row],[Total (1)]]))),"")</f>
        <v/>
      </c>
      <c r="AH131" s="22" t="str">
        <f>IFERROR(IF(Mass_Data[[#This Row],[Check (1)]]="YES",Mass_Data[[#This Row],[MDL axle group 6 mass]],Mass_Data[[#This Row],[MDL axle group 6 mass]]-(Mass_Data[[#This Row],[Difference between MDL and GCM]]*(Mass_Data[[#This Row],[MDL axle group 6 mass]]/Mass_Data[[#This Row],[Total (1)]]))),"")</f>
        <v/>
      </c>
      <c r="AI131" s="22" t="str">
        <f>IFERROR(IF(Mass_Data[[#This Row],[Check (1)]]="YES",Mass_Data[[#This Row],[MDL axle group 7 mass]],Mass_Data[[#This Row],[MDL axle group 7 mass]]-(Mass_Data[[#This Row],[Difference between MDL and GCM]]*(Mass_Data[[#This Row],[MDL axle group 7 mass]]/Mass_Data[[#This Row],[Total (1)]]))),"")</f>
        <v/>
      </c>
      <c r="AJ131" s="81">
        <f>SUM(Mass_Data[[#This Row],[Corrected axle group 1 mass]:[Corrected axle group 7 mass]])</f>
        <v>27</v>
      </c>
      <c r="AK131">
        <f>Mass_Data[[#This Row],[Total (2)]]-Mass_Data[[#This Row],[GCM (t)]]</f>
        <v>0</v>
      </c>
      <c r="AL131" s="22" t="str">
        <f>IF(Mass_Data[[#This Row],[Difference between MDL and corrected axle masses]]=0,"YES","NO")</f>
        <v>YES</v>
      </c>
    </row>
    <row r="132" spans="3:38" x14ac:dyDescent="0.35">
      <c r="C132" s="10" t="str">
        <f t="shared" ref="C132:C195" si="2">IF(G132="n/a",CONCATENATE(E132," - ", D132," (",F132,")"),CONCATENATE(E132," - ", D132," (",F132,")",": ",G132))</f>
        <v>Conventional - 5-Axle Twinsteer Rigid Truck (GML)</v>
      </c>
      <c r="D132" s="10" t="s">
        <v>212</v>
      </c>
      <c r="E132" s="10" t="s">
        <v>220</v>
      </c>
      <c r="F132" s="11" t="s">
        <v>18</v>
      </c>
      <c r="G132" s="11" t="s">
        <v>202</v>
      </c>
      <c r="H132" t="s">
        <v>54</v>
      </c>
      <c r="I132" s="9">
        <v>30</v>
      </c>
      <c r="J132" s="14">
        <v>17.688333333333333</v>
      </c>
      <c r="K132" s="14">
        <f>Mass_Data[[#This Row],[GCM (t)]]-Mass_Data[[#This Row],[Payload (t)]]</f>
        <v>12.311666666666667</v>
      </c>
      <c r="L132" t="s">
        <v>40</v>
      </c>
      <c r="M132" t="s">
        <v>10</v>
      </c>
      <c r="O132">
        <v>0</v>
      </c>
      <c r="P132">
        <v>0</v>
      </c>
      <c r="Q132">
        <v>0</v>
      </c>
      <c r="R132">
        <v>0</v>
      </c>
      <c r="S132" cm="1">
        <f t="array" ref="S132">_xlfn.XLOOKUP(Mass_Data[[#This Row],[axle group 1]]&amp;Mass_Data[[#This Row],[Mass Scheme]],Axle_Data[Axle Code]&amp;Axle_Data[Mass Scheme],Axle_Data[MDL Maximum Mass (t)],"",0)</f>
        <v>11</v>
      </c>
      <c r="T132" cm="1">
        <f t="array" ref="T132">_xlfn.XLOOKUP(Mass_Data[[#This Row],[axle group 2]]&amp;Mass_Data[[#This Row],[Mass Scheme]],Axle_Data[Axle Code]&amp;Axle_Data[Mass Scheme],Axle_Data[MDL Maximum Mass (t)],"",0)</f>
        <v>20</v>
      </c>
      <c r="U132" t="str" cm="1">
        <f t="array" ref="U132">_xlfn.XLOOKUP(Mass_Data[[#This Row],[axle group 3]]&amp;Mass_Data[[#This Row],[Mass Scheme]],Axle_Data[Axle Code]&amp;Axle_Data[Mass Scheme],Axle_Data[MDL Maximum Mass (t)],"",0)</f>
        <v/>
      </c>
      <c r="V132" t="str" cm="1">
        <f t="array" ref="V132">_xlfn.XLOOKUP(Mass_Data[[#This Row],[axle group 4]]&amp;Mass_Data[[#This Row],[Mass Scheme]],Axle_Data[Axle Code]&amp;Axle_Data[Mass Scheme],Axle_Data[MDL Maximum Mass (t)],"",0)</f>
        <v/>
      </c>
      <c r="W132" t="str" cm="1">
        <f t="array" ref="W132">_xlfn.XLOOKUP(Mass_Data[[#This Row],[axle group 5]]&amp;Mass_Data[[#This Row],[Mass Scheme]],Axle_Data[Axle Code]&amp;Axle_Data[Mass Scheme],Axle_Data[MDL Maximum Mass (t)],"",0)</f>
        <v/>
      </c>
      <c r="X132" t="str" cm="1">
        <f t="array" ref="X132">_xlfn.XLOOKUP(Mass_Data[[#This Row],[axle group 6]]&amp;Mass_Data[[#This Row],[Mass Scheme]],Axle_Data[Axle Code]&amp;Axle_Data[Mass Scheme],Axle_Data[MDL Maximum Mass (t)],"",0)</f>
        <v/>
      </c>
      <c r="Y132" t="str" cm="1">
        <f t="array" ref="Y132">_xlfn.XLOOKUP(Mass_Data[[#This Row],[axle group 7]]&amp;Mass_Data[[#This Row],[Mass Scheme]],Axle_Data[Axle Code]&amp;Axle_Data[Mass Scheme],Axle_Data[MDL Maximum Mass (t)],"",0)</f>
        <v/>
      </c>
      <c r="Z132" s="81">
        <f>SUM(Mass_Data[[#This Row],[MDL axle group 1 mass]:[MDL axle group 7 mass]])</f>
        <v>31</v>
      </c>
      <c r="AA132">
        <f>Mass_Data[[#This Row],[Total (1)]]-Mass_Data[[#This Row],[GCM (t)]]</f>
        <v>1</v>
      </c>
      <c r="AB132" t="str">
        <f>IF(Mass_Data[[#This Row],[Difference between MDL and GCM]]=0,"YES","NO")</f>
        <v>NO</v>
      </c>
      <c r="AC132" s="22">
        <f>IFERROR(IF(Mass_Data[[#This Row],[Check (1)]]="YES",Mass_Data[[#This Row],[MDL axle group 1 mass]],Mass_Data[[#This Row],[MDL axle group 1 mass]]-(Mass_Data[[#This Row],[Difference between MDL and GCM]]*(Mass_Data[[#This Row],[MDL axle group 1 mass]]/Mass_Data[[#This Row],[Total (1)]]))),"")</f>
        <v>10.64516129032258</v>
      </c>
      <c r="AD132" s="22">
        <f>IFERROR(IF(Mass_Data[[#This Row],[Check (1)]]="YES",Mass_Data[[#This Row],[MDL axle group 2 mass]],Mass_Data[[#This Row],[MDL axle group 2 mass]]-(Mass_Data[[#This Row],[Difference between MDL and GCM]]*(Mass_Data[[#This Row],[MDL axle group 2 mass]]/Mass_Data[[#This Row],[Total (1)]]))),"")</f>
        <v>19.35483870967742</v>
      </c>
      <c r="AE132" s="22" t="str">
        <f>IFERROR(IF(Mass_Data[[#This Row],[Check (1)]]="YES",Mass_Data[[#This Row],[MDL axle group 3 mass]],Mass_Data[[#This Row],[MDL axle group 3 mass]]-(Mass_Data[[#This Row],[Difference between MDL and GCM]]*(Mass_Data[[#This Row],[MDL axle group 3 mass]]/Mass_Data[[#This Row],[Total (1)]]))),"")</f>
        <v/>
      </c>
      <c r="AF132" s="22" t="str">
        <f>IFERROR(IF(Mass_Data[[#This Row],[Check (1)]]="YES",Mass_Data[[#This Row],[MDL axle group 4 mass]],Mass_Data[[#This Row],[MDL axle group 4 mass]]-(Mass_Data[[#This Row],[Difference between MDL and GCM]]*(Mass_Data[[#This Row],[MDL axle group 4 mass]]/Mass_Data[[#This Row],[Total (1)]]))),"")</f>
        <v/>
      </c>
      <c r="AG132" s="22" t="str">
        <f>IFERROR(IF(Mass_Data[[#This Row],[Check (1)]]="YES",Mass_Data[[#This Row],[MDL axle group 5 mass]],Mass_Data[[#This Row],[MDL axle group 5 mass]]-(Mass_Data[[#This Row],[Difference between MDL and GCM]]*(Mass_Data[[#This Row],[MDL axle group 5 mass]]/Mass_Data[[#This Row],[Total (1)]]))),"")</f>
        <v/>
      </c>
      <c r="AH132" s="22" t="str">
        <f>IFERROR(IF(Mass_Data[[#This Row],[Check (1)]]="YES",Mass_Data[[#This Row],[MDL axle group 6 mass]],Mass_Data[[#This Row],[MDL axle group 6 mass]]-(Mass_Data[[#This Row],[Difference between MDL and GCM]]*(Mass_Data[[#This Row],[MDL axle group 6 mass]]/Mass_Data[[#This Row],[Total (1)]]))),"")</f>
        <v/>
      </c>
      <c r="AI132" s="22" t="str">
        <f>IFERROR(IF(Mass_Data[[#This Row],[Check (1)]]="YES",Mass_Data[[#This Row],[MDL axle group 7 mass]],Mass_Data[[#This Row],[MDL axle group 7 mass]]-(Mass_Data[[#This Row],[Difference between MDL and GCM]]*(Mass_Data[[#This Row],[MDL axle group 7 mass]]/Mass_Data[[#This Row],[Total (1)]]))),"")</f>
        <v/>
      </c>
      <c r="AJ132" s="81">
        <f>SUM(Mass_Data[[#This Row],[Corrected axle group 1 mass]:[Corrected axle group 7 mass]])</f>
        <v>30</v>
      </c>
      <c r="AK132">
        <f>Mass_Data[[#This Row],[Total (2)]]-Mass_Data[[#This Row],[GCM (t)]]</f>
        <v>0</v>
      </c>
      <c r="AL132" s="22" t="str">
        <f>IF(Mass_Data[[#This Row],[Difference between MDL and corrected axle masses]]=0,"YES","NO")</f>
        <v>YES</v>
      </c>
    </row>
    <row r="133" spans="3:38" x14ac:dyDescent="0.35">
      <c r="C133" s="10" t="str">
        <f t="shared" si="2"/>
        <v>Conventional - 5-Axle Twinsteer Rigid Truck (CML)</v>
      </c>
      <c r="D133" s="10" t="s">
        <v>212</v>
      </c>
      <c r="E133" s="10" t="s">
        <v>220</v>
      </c>
      <c r="F133" s="11" t="s">
        <v>20</v>
      </c>
      <c r="G133" s="11" t="s">
        <v>202</v>
      </c>
      <c r="H133" t="s">
        <v>54</v>
      </c>
      <c r="I133" s="9">
        <v>31</v>
      </c>
      <c r="J133" s="14">
        <v>18.688333333333333</v>
      </c>
      <c r="K133" s="14">
        <f>Mass_Data[[#This Row],[GCM (t)]]-Mass_Data[[#This Row],[Payload (t)]]</f>
        <v>12.311666666666667</v>
      </c>
      <c r="L133" t="s">
        <v>40</v>
      </c>
      <c r="M133" t="s">
        <v>10</v>
      </c>
      <c r="O133">
        <v>0</v>
      </c>
      <c r="P133">
        <v>0</v>
      </c>
      <c r="Q133">
        <v>0</v>
      </c>
      <c r="R133">
        <v>0</v>
      </c>
      <c r="S133" cm="1">
        <f t="array" ref="S133">_xlfn.XLOOKUP(Mass_Data[[#This Row],[axle group 1]]&amp;Mass_Data[[#This Row],[Mass Scheme]],Axle_Data[Axle Code]&amp;Axle_Data[Mass Scheme],Axle_Data[MDL Maximum Mass (t)],"",0)</f>
        <v>11</v>
      </c>
      <c r="T133" cm="1">
        <f t="array" ref="T133">_xlfn.XLOOKUP(Mass_Data[[#This Row],[axle group 2]]&amp;Mass_Data[[#This Row],[Mass Scheme]],Axle_Data[Axle Code]&amp;Axle_Data[Mass Scheme],Axle_Data[MDL Maximum Mass (t)],"",0)</f>
        <v>21</v>
      </c>
      <c r="U133" t="str" cm="1">
        <f t="array" ref="U133">_xlfn.XLOOKUP(Mass_Data[[#This Row],[axle group 3]]&amp;Mass_Data[[#This Row],[Mass Scheme]],Axle_Data[Axle Code]&amp;Axle_Data[Mass Scheme],Axle_Data[MDL Maximum Mass (t)],"",0)</f>
        <v/>
      </c>
      <c r="V133" t="str" cm="1">
        <f t="array" ref="V133">_xlfn.XLOOKUP(Mass_Data[[#This Row],[axle group 4]]&amp;Mass_Data[[#This Row],[Mass Scheme]],Axle_Data[Axle Code]&amp;Axle_Data[Mass Scheme],Axle_Data[MDL Maximum Mass (t)],"",0)</f>
        <v/>
      </c>
      <c r="W133" t="str" cm="1">
        <f t="array" ref="W133">_xlfn.XLOOKUP(Mass_Data[[#This Row],[axle group 5]]&amp;Mass_Data[[#This Row],[Mass Scheme]],Axle_Data[Axle Code]&amp;Axle_Data[Mass Scheme],Axle_Data[MDL Maximum Mass (t)],"",0)</f>
        <v/>
      </c>
      <c r="X133" t="str" cm="1">
        <f t="array" ref="X133">_xlfn.XLOOKUP(Mass_Data[[#This Row],[axle group 6]]&amp;Mass_Data[[#This Row],[Mass Scheme]],Axle_Data[Axle Code]&amp;Axle_Data[Mass Scheme],Axle_Data[MDL Maximum Mass (t)],"",0)</f>
        <v/>
      </c>
      <c r="Y133" t="str" cm="1">
        <f t="array" ref="Y133">_xlfn.XLOOKUP(Mass_Data[[#This Row],[axle group 7]]&amp;Mass_Data[[#This Row],[Mass Scheme]],Axle_Data[Axle Code]&amp;Axle_Data[Mass Scheme],Axle_Data[MDL Maximum Mass (t)],"",0)</f>
        <v/>
      </c>
      <c r="Z133" s="81">
        <f>SUM(Mass_Data[[#This Row],[MDL axle group 1 mass]:[MDL axle group 7 mass]])</f>
        <v>32</v>
      </c>
      <c r="AA133">
        <f>Mass_Data[[#This Row],[Total (1)]]-Mass_Data[[#This Row],[GCM (t)]]</f>
        <v>1</v>
      </c>
      <c r="AB133" t="str">
        <f>IF(Mass_Data[[#This Row],[Difference between MDL and GCM]]=0,"YES","NO")</f>
        <v>NO</v>
      </c>
      <c r="AC133" s="22">
        <f>IFERROR(IF(Mass_Data[[#This Row],[Check (1)]]="YES",Mass_Data[[#This Row],[MDL axle group 1 mass]],Mass_Data[[#This Row],[MDL axle group 1 mass]]-(Mass_Data[[#This Row],[Difference between MDL and GCM]]*(Mass_Data[[#This Row],[MDL axle group 1 mass]]/Mass_Data[[#This Row],[Total (1)]]))),"")</f>
        <v>10.65625</v>
      </c>
      <c r="AD133" s="22">
        <f>IFERROR(IF(Mass_Data[[#This Row],[Check (1)]]="YES",Mass_Data[[#This Row],[MDL axle group 2 mass]],Mass_Data[[#This Row],[MDL axle group 2 mass]]-(Mass_Data[[#This Row],[Difference between MDL and GCM]]*(Mass_Data[[#This Row],[MDL axle group 2 mass]]/Mass_Data[[#This Row],[Total (1)]]))),"")</f>
        <v>20.34375</v>
      </c>
      <c r="AE133" s="22" t="str">
        <f>IFERROR(IF(Mass_Data[[#This Row],[Check (1)]]="YES",Mass_Data[[#This Row],[MDL axle group 3 mass]],Mass_Data[[#This Row],[MDL axle group 3 mass]]-(Mass_Data[[#This Row],[Difference between MDL and GCM]]*(Mass_Data[[#This Row],[MDL axle group 3 mass]]/Mass_Data[[#This Row],[Total (1)]]))),"")</f>
        <v/>
      </c>
      <c r="AF133" s="22" t="str">
        <f>IFERROR(IF(Mass_Data[[#This Row],[Check (1)]]="YES",Mass_Data[[#This Row],[MDL axle group 4 mass]],Mass_Data[[#This Row],[MDL axle group 4 mass]]-(Mass_Data[[#This Row],[Difference between MDL and GCM]]*(Mass_Data[[#This Row],[MDL axle group 4 mass]]/Mass_Data[[#This Row],[Total (1)]]))),"")</f>
        <v/>
      </c>
      <c r="AG133" s="22" t="str">
        <f>IFERROR(IF(Mass_Data[[#This Row],[Check (1)]]="YES",Mass_Data[[#This Row],[MDL axle group 5 mass]],Mass_Data[[#This Row],[MDL axle group 5 mass]]-(Mass_Data[[#This Row],[Difference between MDL and GCM]]*(Mass_Data[[#This Row],[MDL axle group 5 mass]]/Mass_Data[[#This Row],[Total (1)]]))),"")</f>
        <v/>
      </c>
      <c r="AH133" s="22" t="str">
        <f>IFERROR(IF(Mass_Data[[#This Row],[Check (1)]]="YES",Mass_Data[[#This Row],[MDL axle group 6 mass]],Mass_Data[[#This Row],[MDL axle group 6 mass]]-(Mass_Data[[#This Row],[Difference between MDL and GCM]]*(Mass_Data[[#This Row],[MDL axle group 6 mass]]/Mass_Data[[#This Row],[Total (1)]]))),"")</f>
        <v/>
      </c>
      <c r="AI133" s="22" t="str">
        <f>IFERROR(IF(Mass_Data[[#This Row],[Check (1)]]="YES",Mass_Data[[#This Row],[MDL axle group 7 mass]],Mass_Data[[#This Row],[MDL axle group 7 mass]]-(Mass_Data[[#This Row],[Difference between MDL and GCM]]*(Mass_Data[[#This Row],[MDL axle group 7 mass]]/Mass_Data[[#This Row],[Total (1)]]))),"")</f>
        <v/>
      </c>
      <c r="AJ133" s="81">
        <f>SUM(Mass_Data[[#This Row],[Corrected axle group 1 mass]:[Corrected axle group 7 mass]])</f>
        <v>31</v>
      </c>
      <c r="AK133">
        <f>Mass_Data[[#This Row],[Total (2)]]-Mass_Data[[#This Row],[GCM (t)]]</f>
        <v>0</v>
      </c>
      <c r="AL133" s="22" t="str">
        <f>IF(Mass_Data[[#This Row],[Difference between MDL and corrected axle masses]]=0,"YES","NO")</f>
        <v>YES</v>
      </c>
    </row>
    <row r="134" spans="3:38" x14ac:dyDescent="0.35">
      <c r="C134" s="10" t="str">
        <f t="shared" si="2"/>
        <v>Conventional - 3-Axle Semitrailer (GML)</v>
      </c>
      <c r="D134" s="10" t="s">
        <v>210</v>
      </c>
      <c r="E134" s="10" t="s">
        <v>220</v>
      </c>
      <c r="F134" s="11" t="s">
        <v>18</v>
      </c>
      <c r="G134" s="11" t="s">
        <v>202</v>
      </c>
      <c r="H134" t="s">
        <v>133</v>
      </c>
      <c r="I134" s="9">
        <v>24</v>
      </c>
      <c r="J134" s="14">
        <v>13.650321428571429</v>
      </c>
      <c r="K134" s="14">
        <f>Mass_Data[[#This Row],[GCM (t)]]-Mass_Data[[#This Row],[Payload (t)]]</f>
        <v>10.349678571428571</v>
      </c>
      <c r="L134" t="s">
        <v>8</v>
      </c>
      <c r="M134" t="s">
        <v>24</v>
      </c>
      <c r="N134" t="s">
        <v>24</v>
      </c>
      <c r="O134">
        <v>0</v>
      </c>
      <c r="P134">
        <v>0</v>
      </c>
      <c r="Q134">
        <v>0</v>
      </c>
      <c r="R134">
        <v>0</v>
      </c>
      <c r="S134" cm="1">
        <f t="array" ref="S134">_xlfn.XLOOKUP(Mass_Data[[#This Row],[axle group 1]]&amp;Mass_Data[[#This Row],[Mass Scheme]],Axle_Data[Axle Code]&amp;Axle_Data[Mass Scheme],Axle_Data[MDL Maximum Mass (t)],"",0)</f>
        <v>6.5</v>
      </c>
      <c r="T134" cm="1">
        <f t="array" ref="T134">_xlfn.XLOOKUP(Mass_Data[[#This Row],[axle group 2]]&amp;Mass_Data[[#This Row],[Mass Scheme]],Axle_Data[Axle Code]&amp;Axle_Data[Mass Scheme],Axle_Data[MDL Maximum Mass (t)],"",0)</f>
        <v>9</v>
      </c>
      <c r="U134" cm="1">
        <f t="array" ref="U134">_xlfn.XLOOKUP(Mass_Data[[#This Row],[axle group 3]]&amp;Mass_Data[[#This Row],[Mass Scheme]],Axle_Data[Axle Code]&amp;Axle_Data[Mass Scheme],Axle_Data[MDL Maximum Mass (t)],"",0)</f>
        <v>9</v>
      </c>
      <c r="V134" t="str" cm="1">
        <f t="array" ref="V134">_xlfn.XLOOKUP(Mass_Data[[#This Row],[axle group 4]]&amp;Mass_Data[[#This Row],[Mass Scheme]],Axle_Data[Axle Code]&amp;Axle_Data[Mass Scheme],Axle_Data[MDL Maximum Mass (t)],"",0)</f>
        <v/>
      </c>
      <c r="W134" t="str" cm="1">
        <f t="array" ref="W134">_xlfn.XLOOKUP(Mass_Data[[#This Row],[axle group 5]]&amp;Mass_Data[[#This Row],[Mass Scheme]],Axle_Data[Axle Code]&amp;Axle_Data[Mass Scheme],Axle_Data[MDL Maximum Mass (t)],"",0)</f>
        <v/>
      </c>
      <c r="X134" t="str" cm="1">
        <f t="array" ref="X134">_xlfn.XLOOKUP(Mass_Data[[#This Row],[axle group 6]]&amp;Mass_Data[[#This Row],[Mass Scheme]],Axle_Data[Axle Code]&amp;Axle_Data[Mass Scheme],Axle_Data[MDL Maximum Mass (t)],"",0)</f>
        <v/>
      </c>
      <c r="Y134" t="str" cm="1">
        <f t="array" ref="Y134">_xlfn.XLOOKUP(Mass_Data[[#This Row],[axle group 7]]&amp;Mass_Data[[#This Row],[Mass Scheme]],Axle_Data[Axle Code]&amp;Axle_Data[Mass Scheme],Axle_Data[MDL Maximum Mass (t)],"",0)</f>
        <v/>
      </c>
      <c r="Z134" s="81">
        <f>SUM(Mass_Data[[#This Row],[MDL axle group 1 mass]:[MDL axle group 7 mass]])</f>
        <v>24.5</v>
      </c>
      <c r="AA134">
        <f>Mass_Data[[#This Row],[Total (1)]]-Mass_Data[[#This Row],[GCM (t)]]</f>
        <v>0.5</v>
      </c>
      <c r="AB134" t="str">
        <f>IF(Mass_Data[[#This Row],[Difference between MDL and GCM]]=0,"YES","NO")</f>
        <v>NO</v>
      </c>
      <c r="AC134" s="22">
        <f>IFERROR(IF(Mass_Data[[#This Row],[Check (1)]]="YES",Mass_Data[[#This Row],[MDL axle group 1 mass]],Mass_Data[[#This Row],[MDL axle group 1 mass]]-(Mass_Data[[#This Row],[Difference between MDL and GCM]]*(Mass_Data[[#This Row],[MDL axle group 1 mass]]/Mass_Data[[#This Row],[Total (1)]]))),"")</f>
        <v>6.3673469387755102</v>
      </c>
      <c r="AD134" s="22">
        <f>IFERROR(IF(Mass_Data[[#This Row],[Check (1)]]="YES",Mass_Data[[#This Row],[MDL axle group 2 mass]],Mass_Data[[#This Row],[MDL axle group 2 mass]]-(Mass_Data[[#This Row],[Difference between MDL and GCM]]*(Mass_Data[[#This Row],[MDL axle group 2 mass]]/Mass_Data[[#This Row],[Total (1)]]))),"")</f>
        <v>8.816326530612244</v>
      </c>
      <c r="AE134" s="22">
        <f>IFERROR(IF(Mass_Data[[#This Row],[Check (1)]]="YES",Mass_Data[[#This Row],[MDL axle group 3 mass]],Mass_Data[[#This Row],[MDL axle group 3 mass]]-(Mass_Data[[#This Row],[Difference between MDL and GCM]]*(Mass_Data[[#This Row],[MDL axle group 3 mass]]/Mass_Data[[#This Row],[Total (1)]]))),"")</f>
        <v>8.816326530612244</v>
      </c>
      <c r="AF134" s="22" t="str">
        <f>IFERROR(IF(Mass_Data[[#This Row],[Check (1)]]="YES",Mass_Data[[#This Row],[MDL axle group 4 mass]],Mass_Data[[#This Row],[MDL axle group 4 mass]]-(Mass_Data[[#This Row],[Difference between MDL and GCM]]*(Mass_Data[[#This Row],[MDL axle group 4 mass]]/Mass_Data[[#This Row],[Total (1)]]))),"")</f>
        <v/>
      </c>
      <c r="AG134" s="22" t="str">
        <f>IFERROR(IF(Mass_Data[[#This Row],[Check (1)]]="YES",Mass_Data[[#This Row],[MDL axle group 5 mass]],Mass_Data[[#This Row],[MDL axle group 5 mass]]-(Mass_Data[[#This Row],[Difference between MDL and GCM]]*(Mass_Data[[#This Row],[MDL axle group 5 mass]]/Mass_Data[[#This Row],[Total (1)]]))),"")</f>
        <v/>
      </c>
      <c r="AH134" s="22" t="str">
        <f>IFERROR(IF(Mass_Data[[#This Row],[Check (1)]]="YES",Mass_Data[[#This Row],[MDL axle group 6 mass]],Mass_Data[[#This Row],[MDL axle group 6 mass]]-(Mass_Data[[#This Row],[Difference between MDL and GCM]]*(Mass_Data[[#This Row],[MDL axle group 6 mass]]/Mass_Data[[#This Row],[Total (1)]]))),"")</f>
        <v/>
      </c>
      <c r="AI134" s="22" t="str">
        <f>IFERROR(IF(Mass_Data[[#This Row],[Check (1)]]="YES",Mass_Data[[#This Row],[MDL axle group 7 mass]],Mass_Data[[#This Row],[MDL axle group 7 mass]]-(Mass_Data[[#This Row],[Difference between MDL and GCM]]*(Mass_Data[[#This Row],[MDL axle group 7 mass]]/Mass_Data[[#This Row],[Total (1)]]))),"")</f>
        <v/>
      </c>
      <c r="AJ134" s="81">
        <f>SUM(Mass_Data[[#This Row],[Corrected axle group 1 mass]:[Corrected axle group 7 mass]])</f>
        <v>24</v>
      </c>
      <c r="AK134">
        <f>Mass_Data[[#This Row],[Total (2)]]-Mass_Data[[#This Row],[GCM (t)]]</f>
        <v>0</v>
      </c>
      <c r="AL134" s="22" t="str">
        <f>IF(Mass_Data[[#This Row],[Difference between MDL and corrected axle masses]]=0,"YES","NO")</f>
        <v>YES</v>
      </c>
    </row>
    <row r="135" spans="3:38" x14ac:dyDescent="0.35">
      <c r="C135" s="10" t="str">
        <f t="shared" si="2"/>
        <v>Conventional - 4-Axle Semitrailer (GML)</v>
      </c>
      <c r="D135" s="10" t="s">
        <v>207</v>
      </c>
      <c r="E135" s="10" t="s">
        <v>220</v>
      </c>
      <c r="F135" s="11" t="s">
        <v>18</v>
      </c>
      <c r="G135" s="11" t="s">
        <v>202</v>
      </c>
      <c r="H135" t="s">
        <v>120</v>
      </c>
      <c r="I135" s="9">
        <v>31.5</v>
      </c>
      <c r="J135" s="14">
        <v>16.7616638764881</v>
      </c>
      <c r="K135" s="14">
        <f>Mass_Data[[#This Row],[GCM (t)]]-Mass_Data[[#This Row],[Payload (t)]]</f>
        <v>14.7383361235119</v>
      </c>
      <c r="L135" t="s">
        <v>8</v>
      </c>
      <c r="M135" t="s">
        <v>24</v>
      </c>
      <c r="N135" t="s">
        <v>30</v>
      </c>
      <c r="O135">
        <v>0</v>
      </c>
      <c r="P135">
        <v>0</v>
      </c>
      <c r="Q135">
        <v>0</v>
      </c>
      <c r="R135">
        <v>0</v>
      </c>
      <c r="S135" cm="1">
        <f t="array" ref="S135">_xlfn.XLOOKUP(Mass_Data[[#This Row],[axle group 1]]&amp;Mass_Data[[#This Row],[Mass Scheme]],Axle_Data[Axle Code]&amp;Axle_Data[Mass Scheme],Axle_Data[MDL Maximum Mass (t)],"",0)</f>
        <v>6.5</v>
      </c>
      <c r="T135" cm="1">
        <f t="array" ref="T135">_xlfn.XLOOKUP(Mass_Data[[#This Row],[axle group 2]]&amp;Mass_Data[[#This Row],[Mass Scheme]],Axle_Data[Axle Code]&amp;Axle_Data[Mass Scheme],Axle_Data[MDL Maximum Mass (t)],"",0)</f>
        <v>9</v>
      </c>
      <c r="U135" cm="1">
        <f t="array" ref="U135">_xlfn.XLOOKUP(Mass_Data[[#This Row],[axle group 3]]&amp;Mass_Data[[#This Row],[Mass Scheme]],Axle_Data[Axle Code]&amp;Axle_Data[Mass Scheme],Axle_Data[MDL Maximum Mass (t)],"",0)</f>
        <v>16.5</v>
      </c>
      <c r="V135" t="str" cm="1">
        <f t="array" ref="V135">_xlfn.XLOOKUP(Mass_Data[[#This Row],[axle group 4]]&amp;Mass_Data[[#This Row],[Mass Scheme]],Axle_Data[Axle Code]&amp;Axle_Data[Mass Scheme],Axle_Data[MDL Maximum Mass (t)],"",0)</f>
        <v/>
      </c>
      <c r="W135" t="str" cm="1">
        <f t="array" ref="W135">_xlfn.XLOOKUP(Mass_Data[[#This Row],[axle group 5]]&amp;Mass_Data[[#This Row],[Mass Scheme]],Axle_Data[Axle Code]&amp;Axle_Data[Mass Scheme],Axle_Data[MDL Maximum Mass (t)],"",0)</f>
        <v/>
      </c>
      <c r="X135" t="str" cm="1">
        <f t="array" ref="X135">_xlfn.XLOOKUP(Mass_Data[[#This Row],[axle group 6]]&amp;Mass_Data[[#This Row],[Mass Scheme]],Axle_Data[Axle Code]&amp;Axle_Data[Mass Scheme],Axle_Data[MDL Maximum Mass (t)],"",0)</f>
        <v/>
      </c>
      <c r="Y135" t="str" cm="1">
        <f t="array" ref="Y135">_xlfn.XLOOKUP(Mass_Data[[#This Row],[axle group 7]]&amp;Mass_Data[[#This Row],[Mass Scheme]],Axle_Data[Axle Code]&amp;Axle_Data[Mass Scheme],Axle_Data[MDL Maximum Mass (t)],"",0)</f>
        <v/>
      </c>
      <c r="Z135" s="81">
        <f>SUM(Mass_Data[[#This Row],[MDL axle group 1 mass]:[MDL axle group 7 mass]])</f>
        <v>32</v>
      </c>
      <c r="AA135">
        <f>Mass_Data[[#This Row],[Total (1)]]-Mass_Data[[#This Row],[GCM (t)]]</f>
        <v>0.5</v>
      </c>
      <c r="AB135" t="str">
        <f>IF(Mass_Data[[#This Row],[Difference between MDL and GCM]]=0,"YES","NO")</f>
        <v>NO</v>
      </c>
      <c r="AC135" s="22">
        <f>IFERROR(IF(Mass_Data[[#This Row],[Check (1)]]="YES",Mass_Data[[#This Row],[MDL axle group 1 mass]],Mass_Data[[#This Row],[MDL axle group 1 mass]]-(Mass_Data[[#This Row],[Difference between MDL and GCM]]*(Mass_Data[[#This Row],[MDL axle group 1 mass]]/Mass_Data[[#This Row],[Total (1)]]))),"")</f>
        <v>6.3984375</v>
      </c>
      <c r="AD135" s="22">
        <f>IFERROR(IF(Mass_Data[[#This Row],[Check (1)]]="YES",Mass_Data[[#This Row],[MDL axle group 2 mass]],Mass_Data[[#This Row],[MDL axle group 2 mass]]-(Mass_Data[[#This Row],[Difference between MDL and GCM]]*(Mass_Data[[#This Row],[MDL axle group 2 mass]]/Mass_Data[[#This Row],[Total (1)]]))),"")</f>
        <v>8.859375</v>
      </c>
      <c r="AE135" s="22">
        <f>IFERROR(IF(Mass_Data[[#This Row],[Check (1)]]="YES",Mass_Data[[#This Row],[MDL axle group 3 mass]],Mass_Data[[#This Row],[MDL axle group 3 mass]]-(Mass_Data[[#This Row],[Difference between MDL and GCM]]*(Mass_Data[[#This Row],[MDL axle group 3 mass]]/Mass_Data[[#This Row],[Total (1)]]))),"")</f>
        <v>16.2421875</v>
      </c>
      <c r="AF135" s="22" t="str">
        <f>IFERROR(IF(Mass_Data[[#This Row],[Check (1)]]="YES",Mass_Data[[#This Row],[MDL axle group 4 mass]],Mass_Data[[#This Row],[MDL axle group 4 mass]]-(Mass_Data[[#This Row],[Difference between MDL and GCM]]*(Mass_Data[[#This Row],[MDL axle group 4 mass]]/Mass_Data[[#This Row],[Total (1)]]))),"")</f>
        <v/>
      </c>
      <c r="AG135" s="22" t="str">
        <f>IFERROR(IF(Mass_Data[[#This Row],[Check (1)]]="YES",Mass_Data[[#This Row],[MDL axle group 5 mass]],Mass_Data[[#This Row],[MDL axle group 5 mass]]-(Mass_Data[[#This Row],[Difference between MDL and GCM]]*(Mass_Data[[#This Row],[MDL axle group 5 mass]]/Mass_Data[[#This Row],[Total (1)]]))),"")</f>
        <v/>
      </c>
      <c r="AH135" s="22" t="str">
        <f>IFERROR(IF(Mass_Data[[#This Row],[Check (1)]]="YES",Mass_Data[[#This Row],[MDL axle group 6 mass]],Mass_Data[[#This Row],[MDL axle group 6 mass]]-(Mass_Data[[#This Row],[Difference between MDL and GCM]]*(Mass_Data[[#This Row],[MDL axle group 6 mass]]/Mass_Data[[#This Row],[Total (1)]]))),"")</f>
        <v/>
      </c>
      <c r="AI135" s="22" t="str">
        <f>IFERROR(IF(Mass_Data[[#This Row],[Check (1)]]="YES",Mass_Data[[#This Row],[MDL axle group 7 mass]],Mass_Data[[#This Row],[MDL axle group 7 mass]]-(Mass_Data[[#This Row],[Difference between MDL and GCM]]*(Mass_Data[[#This Row],[MDL axle group 7 mass]]/Mass_Data[[#This Row],[Total (1)]]))),"")</f>
        <v/>
      </c>
      <c r="AJ135" s="81">
        <f>SUM(Mass_Data[[#This Row],[Corrected axle group 1 mass]:[Corrected axle group 7 mass]])</f>
        <v>31.5</v>
      </c>
      <c r="AK135">
        <f>Mass_Data[[#This Row],[Total (2)]]-Mass_Data[[#This Row],[GCM (t)]]</f>
        <v>0</v>
      </c>
      <c r="AL135" s="22" t="str">
        <f>IF(Mass_Data[[#This Row],[Difference between MDL and corrected axle masses]]=0,"YES","NO")</f>
        <v>YES</v>
      </c>
    </row>
    <row r="136" spans="3:38" x14ac:dyDescent="0.35">
      <c r="C136" s="10" t="str">
        <f t="shared" si="2"/>
        <v>Conventional - 4-Axle Semitrailer (CML)</v>
      </c>
      <c r="D136" s="10" t="s">
        <v>207</v>
      </c>
      <c r="E136" s="10" t="s">
        <v>220</v>
      </c>
      <c r="F136" s="11" t="s">
        <v>20</v>
      </c>
      <c r="G136" s="11" t="s">
        <v>202</v>
      </c>
      <c r="H136" t="s">
        <v>120</v>
      </c>
      <c r="I136" s="9">
        <v>32</v>
      </c>
      <c r="J136" s="14">
        <v>17.2616638764881</v>
      </c>
      <c r="K136" s="14">
        <f>Mass_Data[[#This Row],[GCM (t)]]-Mass_Data[[#This Row],[Payload (t)]]</f>
        <v>14.7383361235119</v>
      </c>
      <c r="L136" t="s">
        <v>8</v>
      </c>
      <c r="M136" t="s">
        <v>24</v>
      </c>
      <c r="N136" t="s">
        <v>30</v>
      </c>
      <c r="O136">
        <v>0</v>
      </c>
      <c r="P136">
        <v>0</v>
      </c>
      <c r="Q136">
        <v>0</v>
      </c>
      <c r="R136">
        <v>0</v>
      </c>
      <c r="S136" cm="1">
        <f t="array" ref="S136">_xlfn.XLOOKUP(Mass_Data[[#This Row],[axle group 1]]&amp;Mass_Data[[#This Row],[Mass Scheme]],Axle_Data[Axle Code]&amp;Axle_Data[Mass Scheme],Axle_Data[MDL Maximum Mass (t)],"",0)</f>
        <v>6.5</v>
      </c>
      <c r="T136" cm="1">
        <f t="array" ref="T136">_xlfn.XLOOKUP(Mass_Data[[#This Row],[axle group 2]]&amp;Mass_Data[[#This Row],[Mass Scheme]],Axle_Data[Axle Code]&amp;Axle_Data[Mass Scheme],Axle_Data[MDL Maximum Mass (t)],"",0)</f>
        <v>9</v>
      </c>
      <c r="U136" cm="1">
        <f t="array" ref="U136">_xlfn.XLOOKUP(Mass_Data[[#This Row],[axle group 3]]&amp;Mass_Data[[#This Row],[Mass Scheme]],Axle_Data[Axle Code]&amp;Axle_Data[Mass Scheme],Axle_Data[MDL Maximum Mass (t)],"",0)</f>
        <v>17</v>
      </c>
      <c r="V136" t="str" cm="1">
        <f t="array" ref="V136">_xlfn.XLOOKUP(Mass_Data[[#This Row],[axle group 4]]&amp;Mass_Data[[#This Row],[Mass Scheme]],Axle_Data[Axle Code]&amp;Axle_Data[Mass Scheme],Axle_Data[MDL Maximum Mass (t)],"",0)</f>
        <v/>
      </c>
      <c r="W136" t="str" cm="1">
        <f t="array" ref="W136">_xlfn.XLOOKUP(Mass_Data[[#This Row],[axle group 5]]&amp;Mass_Data[[#This Row],[Mass Scheme]],Axle_Data[Axle Code]&amp;Axle_Data[Mass Scheme],Axle_Data[MDL Maximum Mass (t)],"",0)</f>
        <v/>
      </c>
      <c r="X136" t="str" cm="1">
        <f t="array" ref="X136">_xlfn.XLOOKUP(Mass_Data[[#This Row],[axle group 6]]&amp;Mass_Data[[#This Row],[Mass Scheme]],Axle_Data[Axle Code]&amp;Axle_Data[Mass Scheme],Axle_Data[MDL Maximum Mass (t)],"",0)</f>
        <v/>
      </c>
      <c r="Y136" t="str" cm="1">
        <f t="array" ref="Y136">_xlfn.XLOOKUP(Mass_Data[[#This Row],[axle group 7]]&amp;Mass_Data[[#This Row],[Mass Scheme]],Axle_Data[Axle Code]&amp;Axle_Data[Mass Scheme],Axle_Data[MDL Maximum Mass (t)],"",0)</f>
        <v/>
      </c>
      <c r="Z136" s="81">
        <f>SUM(Mass_Data[[#This Row],[MDL axle group 1 mass]:[MDL axle group 7 mass]])</f>
        <v>32.5</v>
      </c>
      <c r="AA136">
        <f>Mass_Data[[#This Row],[Total (1)]]-Mass_Data[[#This Row],[GCM (t)]]</f>
        <v>0.5</v>
      </c>
      <c r="AB136" t="str">
        <f>IF(Mass_Data[[#This Row],[Difference between MDL and GCM]]=0,"YES","NO")</f>
        <v>NO</v>
      </c>
      <c r="AC136" s="22">
        <f>IFERROR(IF(Mass_Data[[#This Row],[Check (1)]]="YES",Mass_Data[[#This Row],[MDL axle group 1 mass]],Mass_Data[[#This Row],[MDL axle group 1 mass]]-(Mass_Data[[#This Row],[Difference between MDL and GCM]]*(Mass_Data[[#This Row],[MDL axle group 1 mass]]/Mass_Data[[#This Row],[Total (1)]]))),"")</f>
        <v>6.4</v>
      </c>
      <c r="AD136" s="22">
        <f>IFERROR(IF(Mass_Data[[#This Row],[Check (1)]]="YES",Mass_Data[[#This Row],[MDL axle group 2 mass]],Mass_Data[[#This Row],[MDL axle group 2 mass]]-(Mass_Data[[#This Row],[Difference between MDL and GCM]]*(Mass_Data[[#This Row],[MDL axle group 2 mass]]/Mass_Data[[#This Row],[Total (1)]]))),"")</f>
        <v>8.861538461538462</v>
      </c>
      <c r="AE136" s="22">
        <f>IFERROR(IF(Mass_Data[[#This Row],[Check (1)]]="YES",Mass_Data[[#This Row],[MDL axle group 3 mass]],Mass_Data[[#This Row],[MDL axle group 3 mass]]-(Mass_Data[[#This Row],[Difference between MDL and GCM]]*(Mass_Data[[#This Row],[MDL axle group 3 mass]]/Mass_Data[[#This Row],[Total (1)]]))),"")</f>
        <v>16.738461538461539</v>
      </c>
      <c r="AF136" s="22" t="str">
        <f>IFERROR(IF(Mass_Data[[#This Row],[Check (1)]]="YES",Mass_Data[[#This Row],[MDL axle group 4 mass]],Mass_Data[[#This Row],[MDL axle group 4 mass]]-(Mass_Data[[#This Row],[Difference between MDL and GCM]]*(Mass_Data[[#This Row],[MDL axle group 4 mass]]/Mass_Data[[#This Row],[Total (1)]]))),"")</f>
        <v/>
      </c>
      <c r="AG136" s="22" t="str">
        <f>IFERROR(IF(Mass_Data[[#This Row],[Check (1)]]="YES",Mass_Data[[#This Row],[MDL axle group 5 mass]],Mass_Data[[#This Row],[MDL axle group 5 mass]]-(Mass_Data[[#This Row],[Difference between MDL and GCM]]*(Mass_Data[[#This Row],[MDL axle group 5 mass]]/Mass_Data[[#This Row],[Total (1)]]))),"")</f>
        <v/>
      </c>
      <c r="AH136" s="22" t="str">
        <f>IFERROR(IF(Mass_Data[[#This Row],[Check (1)]]="YES",Mass_Data[[#This Row],[MDL axle group 6 mass]],Mass_Data[[#This Row],[MDL axle group 6 mass]]-(Mass_Data[[#This Row],[Difference between MDL and GCM]]*(Mass_Data[[#This Row],[MDL axle group 6 mass]]/Mass_Data[[#This Row],[Total (1)]]))),"")</f>
        <v/>
      </c>
      <c r="AI136" s="22" t="str">
        <f>IFERROR(IF(Mass_Data[[#This Row],[Check (1)]]="YES",Mass_Data[[#This Row],[MDL axle group 7 mass]],Mass_Data[[#This Row],[MDL axle group 7 mass]]-(Mass_Data[[#This Row],[Difference between MDL and GCM]]*(Mass_Data[[#This Row],[MDL axle group 7 mass]]/Mass_Data[[#This Row],[Total (1)]]))),"")</f>
        <v/>
      </c>
      <c r="AJ136" s="81">
        <f>SUM(Mass_Data[[#This Row],[Corrected axle group 1 mass]:[Corrected axle group 7 mass]])</f>
        <v>32</v>
      </c>
      <c r="AK136">
        <f>Mass_Data[[#This Row],[Total (2)]]-Mass_Data[[#This Row],[GCM (t)]]</f>
        <v>0</v>
      </c>
      <c r="AL136" s="22" t="str">
        <f>IF(Mass_Data[[#This Row],[Difference between MDL and corrected axle masses]]=0,"YES","NO")</f>
        <v>YES</v>
      </c>
    </row>
    <row r="137" spans="3:38" x14ac:dyDescent="0.35">
      <c r="C137" s="10" t="str">
        <f t="shared" si="2"/>
        <v>Conventional - 4-Axle Semitrailer (HML)</v>
      </c>
      <c r="D137" s="10" t="s">
        <v>207</v>
      </c>
      <c r="E137" s="10" t="s">
        <v>220</v>
      </c>
      <c r="F137" s="11" t="s">
        <v>7</v>
      </c>
      <c r="G137" s="11" t="s">
        <v>202</v>
      </c>
      <c r="H137" t="s">
        <v>120</v>
      </c>
      <c r="I137" s="9">
        <v>32</v>
      </c>
      <c r="J137" s="14">
        <v>17.2616638764881</v>
      </c>
      <c r="K137" s="14">
        <f>Mass_Data[[#This Row],[GCM (t)]]-Mass_Data[[#This Row],[Payload (t)]]</f>
        <v>14.7383361235119</v>
      </c>
      <c r="L137" t="s">
        <v>8</v>
      </c>
      <c r="M137" t="s">
        <v>24</v>
      </c>
      <c r="N137" t="s">
        <v>30</v>
      </c>
      <c r="O137">
        <v>0</v>
      </c>
      <c r="P137">
        <v>0</v>
      </c>
      <c r="Q137">
        <v>0</v>
      </c>
      <c r="R137">
        <v>0</v>
      </c>
      <c r="S137" cm="1">
        <f t="array" ref="S137">_xlfn.XLOOKUP(Mass_Data[[#This Row],[axle group 1]]&amp;Mass_Data[[#This Row],[Mass Scheme]],Axle_Data[Axle Code]&amp;Axle_Data[Mass Scheme],Axle_Data[MDL Maximum Mass (t)],"",0)</f>
        <v>6.5</v>
      </c>
      <c r="T137" cm="1">
        <f t="array" ref="T137">_xlfn.XLOOKUP(Mass_Data[[#This Row],[axle group 2]]&amp;Mass_Data[[#This Row],[Mass Scheme]],Axle_Data[Axle Code]&amp;Axle_Data[Mass Scheme],Axle_Data[MDL Maximum Mass (t)],"",0)</f>
        <v>9</v>
      </c>
      <c r="U137" cm="1">
        <f t="array" ref="U137">_xlfn.XLOOKUP(Mass_Data[[#This Row],[axle group 3]]&amp;Mass_Data[[#This Row],[Mass Scheme]],Axle_Data[Axle Code]&amp;Axle_Data[Mass Scheme],Axle_Data[MDL Maximum Mass (t)],"",0)</f>
        <v>17</v>
      </c>
      <c r="V137" t="str" cm="1">
        <f t="array" ref="V137">_xlfn.XLOOKUP(Mass_Data[[#This Row],[axle group 4]]&amp;Mass_Data[[#This Row],[Mass Scheme]],Axle_Data[Axle Code]&amp;Axle_Data[Mass Scheme],Axle_Data[MDL Maximum Mass (t)],"",0)</f>
        <v/>
      </c>
      <c r="W137" t="str" cm="1">
        <f t="array" ref="W137">_xlfn.XLOOKUP(Mass_Data[[#This Row],[axle group 5]]&amp;Mass_Data[[#This Row],[Mass Scheme]],Axle_Data[Axle Code]&amp;Axle_Data[Mass Scheme],Axle_Data[MDL Maximum Mass (t)],"",0)</f>
        <v/>
      </c>
      <c r="X137" t="str" cm="1">
        <f t="array" ref="X137">_xlfn.XLOOKUP(Mass_Data[[#This Row],[axle group 6]]&amp;Mass_Data[[#This Row],[Mass Scheme]],Axle_Data[Axle Code]&amp;Axle_Data[Mass Scheme],Axle_Data[MDL Maximum Mass (t)],"",0)</f>
        <v/>
      </c>
      <c r="Y137" t="str" cm="1">
        <f t="array" ref="Y137">_xlfn.XLOOKUP(Mass_Data[[#This Row],[axle group 7]]&amp;Mass_Data[[#This Row],[Mass Scheme]],Axle_Data[Axle Code]&amp;Axle_Data[Mass Scheme],Axle_Data[MDL Maximum Mass (t)],"",0)</f>
        <v/>
      </c>
      <c r="Z137" s="81">
        <f>SUM(Mass_Data[[#This Row],[MDL axle group 1 mass]:[MDL axle group 7 mass]])</f>
        <v>32.5</v>
      </c>
      <c r="AA137">
        <f>Mass_Data[[#This Row],[Total (1)]]-Mass_Data[[#This Row],[GCM (t)]]</f>
        <v>0.5</v>
      </c>
      <c r="AB137" t="str">
        <f>IF(Mass_Data[[#This Row],[Difference between MDL and GCM]]=0,"YES","NO")</f>
        <v>NO</v>
      </c>
      <c r="AC137" s="22">
        <f>IFERROR(IF(Mass_Data[[#This Row],[Check (1)]]="YES",Mass_Data[[#This Row],[MDL axle group 1 mass]],Mass_Data[[#This Row],[MDL axle group 1 mass]]-(Mass_Data[[#This Row],[Difference between MDL and GCM]]*(Mass_Data[[#This Row],[MDL axle group 1 mass]]/Mass_Data[[#This Row],[Total (1)]]))),"")</f>
        <v>6.4</v>
      </c>
      <c r="AD137" s="22">
        <f>IFERROR(IF(Mass_Data[[#This Row],[Check (1)]]="YES",Mass_Data[[#This Row],[MDL axle group 2 mass]],Mass_Data[[#This Row],[MDL axle group 2 mass]]-(Mass_Data[[#This Row],[Difference between MDL and GCM]]*(Mass_Data[[#This Row],[MDL axle group 2 mass]]/Mass_Data[[#This Row],[Total (1)]]))),"")</f>
        <v>8.861538461538462</v>
      </c>
      <c r="AE137" s="22">
        <f>IFERROR(IF(Mass_Data[[#This Row],[Check (1)]]="YES",Mass_Data[[#This Row],[MDL axle group 3 mass]],Mass_Data[[#This Row],[MDL axle group 3 mass]]-(Mass_Data[[#This Row],[Difference between MDL and GCM]]*(Mass_Data[[#This Row],[MDL axle group 3 mass]]/Mass_Data[[#This Row],[Total (1)]]))),"")</f>
        <v>16.738461538461539</v>
      </c>
      <c r="AF137" s="22" t="str">
        <f>IFERROR(IF(Mass_Data[[#This Row],[Check (1)]]="YES",Mass_Data[[#This Row],[MDL axle group 4 mass]],Mass_Data[[#This Row],[MDL axle group 4 mass]]-(Mass_Data[[#This Row],[Difference between MDL and GCM]]*(Mass_Data[[#This Row],[MDL axle group 4 mass]]/Mass_Data[[#This Row],[Total (1)]]))),"")</f>
        <v/>
      </c>
      <c r="AG137" s="22" t="str">
        <f>IFERROR(IF(Mass_Data[[#This Row],[Check (1)]]="YES",Mass_Data[[#This Row],[MDL axle group 5 mass]],Mass_Data[[#This Row],[MDL axle group 5 mass]]-(Mass_Data[[#This Row],[Difference between MDL and GCM]]*(Mass_Data[[#This Row],[MDL axle group 5 mass]]/Mass_Data[[#This Row],[Total (1)]]))),"")</f>
        <v/>
      </c>
      <c r="AH137" s="22" t="str">
        <f>IFERROR(IF(Mass_Data[[#This Row],[Check (1)]]="YES",Mass_Data[[#This Row],[MDL axle group 6 mass]],Mass_Data[[#This Row],[MDL axle group 6 mass]]-(Mass_Data[[#This Row],[Difference between MDL and GCM]]*(Mass_Data[[#This Row],[MDL axle group 6 mass]]/Mass_Data[[#This Row],[Total (1)]]))),"")</f>
        <v/>
      </c>
      <c r="AI137" s="22" t="str">
        <f>IFERROR(IF(Mass_Data[[#This Row],[Check (1)]]="YES",Mass_Data[[#This Row],[MDL axle group 7 mass]],Mass_Data[[#This Row],[MDL axle group 7 mass]]-(Mass_Data[[#This Row],[Difference between MDL and GCM]]*(Mass_Data[[#This Row],[MDL axle group 7 mass]]/Mass_Data[[#This Row],[Total (1)]]))),"")</f>
        <v/>
      </c>
      <c r="AJ137" s="81">
        <f>SUM(Mass_Data[[#This Row],[Corrected axle group 1 mass]:[Corrected axle group 7 mass]])</f>
        <v>32</v>
      </c>
      <c r="AK137">
        <f>Mass_Data[[#This Row],[Total (2)]]-Mass_Data[[#This Row],[GCM (t)]]</f>
        <v>0</v>
      </c>
      <c r="AL137" s="22" t="str">
        <f>IF(Mass_Data[[#This Row],[Difference between MDL and corrected axle masses]]=0,"YES","NO")</f>
        <v>YES</v>
      </c>
    </row>
    <row r="138" spans="3:38" x14ac:dyDescent="0.35">
      <c r="C138" s="10" t="str">
        <f t="shared" si="2"/>
        <v>Conventional - 5-Axle Semitrailer (GML)</v>
      </c>
      <c r="D138" s="10" t="s">
        <v>205</v>
      </c>
      <c r="E138" s="10" t="s">
        <v>220</v>
      </c>
      <c r="F138" s="11" t="s">
        <v>18</v>
      </c>
      <c r="G138" s="11" t="s">
        <v>202</v>
      </c>
      <c r="H138" t="s">
        <v>134</v>
      </c>
      <c r="I138" s="9">
        <v>35</v>
      </c>
      <c r="J138" s="14">
        <v>20.242907794458265</v>
      </c>
      <c r="K138" s="14">
        <f>Mass_Data[[#This Row],[GCM (t)]]-Mass_Data[[#This Row],[Payload (t)]]</f>
        <v>14.757092205541735</v>
      </c>
      <c r="L138" t="s">
        <v>8</v>
      </c>
      <c r="M138" t="s">
        <v>24</v>
      </c>
      <c r="N138" t="s">
        <v>10</v>
      </c>
      <c r="O138">
        <v>0</v>
      </c>
      <c r="P138">
        <v>0</v>
      </c>
      <c r="Q138">
        <v>0</v>
      </c>
      <c r="R138">
        <v>0</v>
      </c>
      <c r="S138" cm="1">
        <f t="array" ref="S138">_xlfn.XLOOKUP(Mass_Data[[#This Row],[axle group 1]]&amp;Mass_Data[[#This Row],[Mass Scheme]],Axle_Data[Axle Code]&amp;Axle_Data[Mass Scheme],Axle_Data[MDL Maximum Mass (t)],"",0)</f>
        <v>6.5</v>
      </c>
      <c r="T138" cm="1">
        <f t="array" ref="T138">_xlfn.XLOOKUP(Mass_Data[[#This Row],[axle group 2]]&amp;Mass_Data[[#This Row],[Mass Scheme]],Axle_Data[Axle Code]&amp;Axle_Data[Mass Scheme],Axle_Data[MDL Maximum Mass (t)],"",0)</f>
        <v>9</v>
      </c>
      <c r="U138" cm="1">
        <f t="array" ref="U138">_xlfn.XLOOKUP(Mass_Data[[#This Row],[axle group 3]]&amp;Mass_Data[[#This Row],[Mass Scheme]],Axle_Data[Axle Code]&amp;Axle_Data[Mass Scheme],Axle_Data[MDL Maximum Mass (t)],"",0)</f>
        <v>20</v>
      </c>
      <c r="V138" t="str" cm="1">
        <f t="array" ref="V138">_xlfn.XLOOKUP(Mass_Data[[#This Row],[axle group 4]]&amp;Mass_Data[[#This Row],[Mass Scheme]],Axle_Data[Axle Code]&amp;Axle_Data[Mass Scheme],Axle_Data[MDL Maximum Mass (t)],"",0)</f>
        <v/>
      </c>
      <c r="W138" t="str" cm="1">
        <f t="array" ref="W138">_xlfn.XLOOKUP(Mass_Data[[#This Row],[axle group 5]]&amp;Mass_Data[[#This Row],[Mass Scheme]],Axle_Data[Axle Code]&amp;Axle_Data[Mass Scheme],Axle_Data[MDL Maximum Mass (t)],"",0)</f>
        <v/>
      </c>
      <c r="X138" t="str" cm="1">
        <f t="array" ref="X138">_xlfn.XLOOKUP(Mass_Data[[#This Row],[axle group 6]]&amp;Mass_Data[[#This Row],[Mass Scheme]],Axle_Data[Axle Code]&amp;Axle_Data[Mass Scheme],Axle_Data[MDL Maximum Mass (t)],"",0)</f>
        <v/>
      </c>
      <c r="Y138" t="str" cm="1">
        <f t="array" ref="Y138">_xlfn.XLOOKUP(Mass_Data[[#This Row],[axle group 7]]&amp;Mass_Data[[#This Row],[Mass Scheme]],Axle_Data[Axle Code]&amp;Axle_Data[Mass Scheme],Axle_Data[MDL Maximum Mass (t)],"",0)</f>
        <v/>
      </c>
      <c r="Z138" s="81">
        <f>SUM(Mass_Data[[#This Row],[MDL axle group 1 mass]:[MDL axle group 7 mass]])</f>
        <v>35.5</v>
      </c>
      <c r="AA138">
        <f>Mass_Data[[#This Row],[Total (1)]]-Mass_Data[[#This Row],[GCM (t)]]</f>
        <v>0.5</v>
      </c>
      <c r="AB138" t="str">
        <f>IF(Mass_Data[[#This Row],[Difference between MDL and GCM]]=0,"YES","NO")</f>
        <v>NO</v>
      </c>
      <c r="AC138" s="22">
        <f>IFERROR(IF(Mass_Data[[#This Row],[Check (1)]]="YES",Mass_Data[[#This Row],[MDL axle group 1 mass]],Mass_Data[[#This Row],[MDL axle group 1 mass]]-(Mass_Data[[#This Row],[Difference between MDL and GCM]]*(Mass_Data[[#This Row],[MDL axle group 1 mass]]/Mass_Data[[#This Row],[Total (1)]]))),"")</f>
        <v>6.408450704225352</v>
      </c>
      <c r="AD138" s="22">
        <f>IFERROR(IF(Mass_Data[[#This Row],[Check (1)]]="YES",Mass_Data[[#This Row],[MDL axle group 2 mass]],Mass_Data[[#This Row],[MDL axle group 2 mass]]-(Mass_Data[[#This Row],[Difference between MDL and GCM]]*(Mass_Data[[#This Row],[MDL axle group 2 mass]]/Mass_Data[[#This Row],[Total (1)]]))),"")</f>
        <v>8.873239436619718</v>
      </c>
      <c r="AE138" s="22">
        <f>IFERROR(IF(Mass_Data[[#This Row],[Check (1)]]="YES",Mass_Data[[#This Row],[MDL axle group 3 mass]],Mass_Data[[#This Row],[MDL axle group 3 mass]]-(Mass_Data[[#This Row],[Difference between MDL and GCM]]*(Mass_Data[[#This Row],[MDL axle group 3 mass]]/Mass_Data[[#This Row],[Total (1)]]))),"")</f>
        <v>19.718309859154928</v>
      </c>
      <c r="AF138" s="22" t="str">
        <f>IFERROR(IF(Mass_Data[[#This Row],[Check (1)]]="YES",Mass_Data[[#This Row],[MDL axle group 4 mass]],Mass_Data[[#This Row],[MDL axle group 4 mass]]-(Mass_Data[[#This Row],[Difference between MDL and GCM]]*(Mass_Data[[#This Row],[MDL axle group 4 mass]]/Mass_Data[[#This Row],[Total (1)]]))),"")</f>
        <v/>
      </c>
      <c r="AG138" s="22" t="str">
        <f>IFERROR(IF(Mass_Data[[#This Row],[Check (1)]]="YES",Mass_Data[[#This Row],[MDL axle group 5 mass]],Mass_Data[[#This Row],[MDL axle group 5 mass]]-(Mass_Data[[#This Row],[Difference between MDL and GCM]]*(Mass_Data[[#This Row],[MDL axle group 5 mass]]/Mass_Data[[#This Row],[Total (1)]]))),"")</f>
        <v/>
      </c>
      <c r="AH138" s="22" t="str">
        <f>IFERROR(IF(Mass_Data[[#This Row],[Check (1)]]="YES",Mass_Data[[#This Row],[MDL axle group 6 mass]],Mass_Data[[#This Row],[MDL axle group 6 mass]]-(Mass_Data[[#This Row],[Difference between MDL and GCM]]*(Mass_Data[[#This Row],[MDL axle group 6 mass]]/Mass_Data[[#This Row],[Total (1)]]))),"")</f>
        <v/>
      </c>
      <c r="AI138" s="22" t="str">
        <f>IFERROR(IF(Mass_Data[[#This Row],[Check (1)]]="YES",Mass_Data[[#This Row],[MDL axle group 7 mass]],Mass_Data[[#This Row],[MDL axle group 7 mass]]-(Mass_Data[[#This Row],[Difference between MDL and GCM]]*(Mass_Data[[#This Row],[MDL axle group 7 mass]]/Mass_Data[[#This Row],[Total (1)]]))),"")</f>
        <v/>
      </c>
      <c r="AJ138" s="81">
        <f>SUM(Mass_Data[[#This Row],[Corrected axle group 1 mass]:[Corrected axle group 7 mass]])</f>
        <v>35</v>
      </c>
      <c r="AK138">
        <f>Mass_Data[[#This Row],[Total (2)]]-Mass_Data[[#This Row],[GCM (t)]]</f>
        <v>0</v>
      </c>
      <c r="AL138" s="22" t="str">
        <f>IF(Mass_Data[[#This Row],[Difference between MDL and corrected axle masses]]=0,"YES","NO")</f>
        <v>YES</v>
      </c>
    </row>
    <row r="139" spans="3:38" x14ac:dyDescent="0.35">
      <c r="C139" s="10" t="str">
        <f t="shared" si="2"/>
        <v>Conventional - 5-Axle Semitrailer (CML)</v>
      </c>
      <c r="D139" s="10" t="s">
        <v>205</v>
      </c>
      <c r="E139" s="10" t="s">
        <v>220</v>
      </c>
      <c r="F139" s="11" t="s">
        <v>20</v>
      </c>
      <c r="G139" s="11" t="s">
        <v>202</v>
      </c>
      <c r="H139" t="s">
        <v>134</v>
      </c>
      <c r="I139" s="9">
        <v>36</v>
      </c>
      <c r="J139" s="14">
        <v>21.242907794458265</v>
      </c>
      <c r="K139" s="14">
        <f>Mass_Data[[#This Row],[GCM (t)]]-Mass_Data[[#This Row],[Payload (t)]]</f>
        <v>14.757092205541735</v>
      </c>
      <c r="L139" t="s">
        <v>8</v>
      </c>
      <c r="M139" t="s">
        <v>24</v>
      </c>
      <c r="N139" t="s">
        <v>10</v>
      </c>
      <c r="O139">
        <v>0</v>
      </c>
      <c r="P139">
        <v>0</v>
      </c>
      <c r="Q139">
        <v>0</v>
      </c>
      <c r="R139">
        <v>0</v>
      </c>
      <c r="S139" cm="1">
        <f t="array" ref="S139">_xlfn.XLOOKUP(Mass_Data[[#This Row],[axle group 1]]&amp;Mass_Data[[#This Row],[Mass Scheme]],Axle_Data[Axle Code]&amp;Axle_Data[Mass Scheme],Axle_Data[MDL Maximum Mass (t)],"",0)</f>
        <v>6.5</v>
      </c>
      <c r="T139" cm="1">
        <f t="array" ref="T139">_xlfn.XLOOKUP(Mass_Data[[#This Row],[axle group 2]]&amp;Mass_Data[[#This Row],[Mass Scheme]],Axle_Data[Axle Code]&amp;Axle_Data[Mass Scheme],Axle_Data[MDL Maximum Mass (t)],"",0)</f>
        <v>9</v>
      </c>
      <c r="U139" cm="1">
        <f t="array" ref="U139">_xlfn.XLOOKUP(Mass_Data[[#This Row],[axle group 3]]&amp;Mass_Data[[#This Row],[Mass Scheme]],Axle_Data[Axle Code]&amp;Axle_Data[Mass Scheme],Axle_Data[MDL Maximum Mass (t)],"",0)</f>
        <v>21</v>
      </c>
      <c r="V139" t="str" cm="1">
        <f t="array" ref="V139">_xlfn.XLOOKUP(Mass_Data[[#This Row],[axle group 4]]&amp;Mass_Data[[#This Row],[Mass Scheme]],Axle_Data[Axle Code]&amp;Axle_Data[Mass Scheme],Axle_Data[MDL Maximum Mass (t)],"",0)</f>
        <v/>
      </c>
      <c r="W139" t="str" cm="1">
        <f t="array" ref="W139">_xlfn.XLOOKUP(Mass_Data[[#This Row],[axle group 5]]&amp;Mass_Data[[#This Row],[Mass Scheme]],Axle_Data[Axle Code]&amp;Axle_Data[Mass Scheme],Axle_Data[MDL Maximum Mass (t)],"",0)</f>
        <v/>
      </c>
      <c r="X139" t="str" cm="1">
        <f t="array" ref="X139">_xlfn.XLOOKUP(Mass_Data[[#This Row],[axle group 6]]&amp;Mass_Data[[#This Row],[Mass Scheme]],Axle_Data[Axle Code]&amp;Axle_Data[Mass Scheme],Axle_Data[MDL Maximum Mass (t)],"",0)</f>
        <v/>
      </c>
      <c r="Y139" t="str" cm="1">
        <f t="array" ref="Y139">_xlfn.XLOOKUP(Mass_Data[[#This Row],[axle group 7]]&amp;Mass_Data[[#This Row],[Mass Scheme]],Axle_Data[Axle Code]&amp;Axle_Data[Mass Scheme],Axle_Data[MDL Maximum Mass (t)],"",0)</f>
        <v/>
      </c>
      <c r="Z139" s="81">
        <f>SUM(Mass_Data[[#This Row],[MDL axle group 1 mass]:[MDL axle group 7 mass]])</f>
        <v>36.5</v>
      </c>
      <c r="AA139">
        <f>Mass_Data[[#This Row],[Total (1)]]-Mass_Data[[#This Row],[GCM (t)]]</f>
        <v>0.5</v>
      </c>
      <c r="AB139" t="str">
        <f>IF(Mass_Data[[#This Row],[Difference between MDL and GCM]]=0,"YES","NO")</f>
        <v>NO</v>
      </c>
      <c r="AC139" s="22">
        <f>IFERROR(IF(Mass_Data[[#This Row],[Check (1)]]="YES",Mass_Data[[#This Row],[MDL axle group 1 mass]],Mass_Data[[#This Row],[MDL axle group 1 mass]]-(Mass_Data[[#This Row],[Difference between MDL and GCM]]*(Mass_Data[[#This Row],[MDL axle group 1 mass]]/Mass_Data[[#This Row],[Total (1)]]))),"")</f>
        <v>6.4109589041095889</v>
      </c>
      <c r="AD139" s="22">
        <f>IFERROR(IF(Mass_Data[[#This Row],[Check (1)]]="YES",Mass_Data[[#This Row],[MDL axle group 2 mass]],Mass_Data[[#This Row],[MDL axle group 2 mass]]-(Mass_Data[[#This Row],[Difference between MDL and GCM]]*(Mass_Data[[#This Row],[MDL axle group 2 mass]]/Mass_Data[[#This Row],[Total (1)]]))),"")</f>
        <v>8.8767123287671232</v>
      </c>
      <c r="AE139" s="22">
        <f>IFERROR(IF(Mass_Data[[#This Row],[Check (1)]]="YES",Mass_Data[[#This Row],[MDL axle group 3 mass]],Mass_Data[[#This Row],[MDL axle group 3 mass]]-(Mass_Data[[#This Row],[Difference between MDL and GCM]]*(Mass_Data[[#This Row],[MDL axle group 3 mass]]/Mass_Data[[#This Row],[Total (1)]]))),"")</f>
        <v>20.712328767123289</v>
      </c>
      <c r="AF139" s="22" t="str">
        <f>IFERROR(IF(Mass_Data[[#This Row],[Check (1)]]="YES",Mass_Data[[#This Row],[MDL axle group 4 mass]],Mass_Data[[#This Row],[MDL axle group 4 mass]]-(Mass_Data[[#This Row],[Difference between MDL and GCM]]*(Mass_Data[[#This Row],[MDL axle group 4 mass]]/Mass_Data[[#This Row],[Total (1)]]))),"")</f>
        <v/>
      </c>
      <c r="AG139" s="22" t="str">
        <f>IFERROR(IF(Mass_Data[[#This Row],[Check (1)]]="YES",Mass_Data[[#This Row],[MDL axle group 5 mass]],Mass_Data[[#This Row],[MDL axle group 5 mass]]-(Mass_Data[[#This Row],[Difference between MDL and GCM]]*(Mass_Data[[#This Row],[MDL axle group 5 mass]]/Mass_Data[[#This Row],[Total (1)]]))),"")</f>
        <v/>
      </c>
      <c r="AH139" s="22" t="str">
        <f>IFERROR(IF(Mass_Data[[#This Row],[Check (1)]]="YES",Mass_Data[[#This Row],[MDL axle group 6 mass]],Mass_Data[[#This Row],[MDL axle group 6 mass]]-(Mass_Data[[#This Row],[Difference between MDL and GCM]]*(Mass_Data[[#This Row],[MDL axle group 6 mass]]/Mass_Data[[#This Row],[Total (1)]]))),"")</f>
        <v/>
      </c>
      <c r="AI139" s="22" t="str">
        <f>IFERROR(IF(Mass_Data[[#This Row],[Check (1)]]="YES",Mass_Data[[#This Row],[MDL axle group 7 mass]],Mass_Data[[#This Row],[MDL axle group 7 mass]]-(Mass_Data[[#This Row],[Difference between MDL and GCM]]*(Mass_Data[[#This Row],[MDL axle group 7 mass]]/Mass_Data[[#This Row],[Total (1)]]))),"")</f>
        <v/>
      </c>
      <c r="AJ139" s="81">
        <f>SUM(Mass_Data[[#This Row],[Corrected axle group 1 mass]:[Corrected axle group 7 mass]])</f>
        <v>36</v>
      </c>
      <c r="AK139">
        <f>Mass_Data[[#This Row],[Total (2)]]-Mass_Data[[#This Row],[GCM (t)]]</f>
        <v>0</v>
      </c>
      <c r="AL139" s="22" t="str">
        <f>IF(Mass_Data[[#This Row],[Difference between MDL and corrected axle masses]]=0,"YES","NO")</f>
        <v>YES</v>
      </c>
    </row>
    <row r="140" spans="3:38" x14ac:dyDescent="0.35">
      <c r="C140" s="10" t="str">
        <f t="shared" si="2"/>
        <v>Conventional - 5-Axle Semitrailer (HML)</v>
      </c>
      <c r="D140" s="10" t="s">
        <v>205</v>
      </c>
      <c r="E140" s="10" t="s">
        <v>220</v>
      </c>
      <c r="F140" s="11" t="s">
        <v>7</v>
      </c>
      <c r="G140" s="11" t="s">
        <v>202</v>
      </c>
      <c r="H140" t="s">
        <v>134</v>
      </c>
      <c r="I140" s="9">
        <v>37.5</v>
      </c>
      <c r="J140" s="14">
        <v>22.742907794458265</v>
      </c>
      <c r="K140" s="14">
        <f>Mass_Data[[#This Row],[GCM (t)]]-Mass_Data[[#This Row],[Payload (t)]]</f>
        <v>14.757092205541735</v>
      </c>
      <c r="L140" t="s">
        <v>8</v>
      </c>
      <c r="M140" t="s">
        <v>24</v>
      </c>
      <c r="N140" t="s">
        <v>10</v>
      </c>
      <c r="O140">
        <v>0</v>
      </c>
      <c r="P140">
        <v>0</v>
      </c>
      <c r="Q140">
        <v>0</v>
      </c>
      <c r="R140">
        <v>0</v>
      </c>
      <c r="S140" cm="1">
        <f t="array" ref="S140">_xlfn.XLOOKUP(Mass_Data[[#This Row],[axle group 1]]&amp;Mass_Data[[#This Row],[Mass Scheme]],Axle_Data[Axle Code]&amp;Axle_Data[Mass Scheme],Axle_Data[MDL Maximum Mass (t)],"",0)</f>
        <v>6.5</v>
      </c>
      <c r="T140" cm="1">
        <f t="array" ref="T140">_xlfn.XLOOKUP(Mass_Data[[#This Row],[axle group 2]]&amp;Mass_Data[[#This Row],[Mass Scheme]],Axle_Data[Axle Code]&amp;Axle_Data[Mass Scheme],Axle_Data[MDL Maximum Mass (t)],"",0)</f>
        <v>9</v>
      </c>
      <c r="U140" cm="1">
        <f t="array" ref="U140">_xlfn.XLOOKUP(Mass_Data[[#This Row],[axle group 3]]&amp;Mass_Data[[#This Row],[Mass Scheme]],Axle_Data[Axle Code]&amp;Axle_Data[Mass Scheme],Axle_Data[MDL Maximum Mass (t)],"",0)</f>
        <v>22.5</v>
      </c>
      <c r="V140" t="str" cm="1">
        <f t="array" ref="V140">_xlfn.XLOOKUP(Mass_Data[[#This Row],[axle group 4]]&amp;Mass_Data[[#This Row],[Mass Scheme]],Axle_Data[Axle Code]&amp;Axle_Data[Mass Scheme],Axle_Data[MDL Maximum Mass (t)],"",0)</f>
        <v/>
      </c>
      <c r="W140" t="str" cm="1">
        <f t="array" ref="W140">_xlfn.XLOOKUP(Mass_Data[[#This Row],[axle group 5]]&amp;Mass_Data[[#This Row],[Mass Scheme]],Axle_Data[Axle Code]&amp;Axle_Data[Mass Scheme],Axle_Data[MDL Maximum Mass (t)],"",0)</f>
        <v/>
      </c>
      <c r="X140" t="str" cm="1">
        <f t="array" ref="X140">_xlfn.XLOOKUP(Mass_Data[[#This Row],[axle group 6]]&amp;Mass_Data[[#This Row],[Mass Scheme]],Axle_Data[Axle Code]&amp;Axle_Data[Mass Scheme],Axle_Data[MDL Maximum Mass (t)],"",0)</f>
        <v/>
      </c>
      <c r="Y140" t="str" cm="1">
        <f t="array" ref="Y140">_xlfn.XLOOKUP(Mass_Data[[#This Row],[axle group 7]]&amp;Mass_Data[[#This Row],[Mass Scheme]],Axle_Data[Axle Code]&amp;Axle_Data[Mass Scheme],Axle_Data[MDL Maximum Mass (t)],"",0)</f>
        <v/>
      </c>
      <c r="Z140" s="81">
        <f>SUM(Mass_Data[[#This Row],[MDL axle group 1 mass]:[MDL axle group 7 mass]])</f>
        <v>38</v>
      </c>
      <c r="AA140">
        <f>Mass_Data[[#This Row],[Total (1)]]-Mass_Data[[#This Row],[GCM (t)]]</f>
        <v>0.5</v>
      </c>
      <c r="AB140" t="str">
        <f>IF(Mass_Data[[#This Row],[Difference between MDL and GCM]]=0,"YES","NO")</f>
        <v>NO</v>
      </c>
      <c r="AC140" s="22">
        <f>IFERROR(IF(Mass_Data[[#This Row],[Check (1)]]="YES",Mass_Data[[#This Row],[MDL axle group 1 mass]],Mass_Data[[#This Row],[MDL axle group 1 mass]]-(Mass_Data[[#This Row],[Difference between MDL and GCM]]*(Mass_Data[[#This Row],[MDL axle group 1 mass]]/Mass_Data[[#This Row],[Total (1)]]))),"")</f>
        <v>6.4144736842105265</v>
      </c>
      <c r="AD140" s="22">
        <f>IFERROR(IF(Mass_Data[[#This Row],[Check (1)]]="YES",Mass_Data[[#This Row],[MDL axle group 2 mass]],Mass_Data[[#This Row],[MDL axle group 2 mass]]-(Mass_Data[[#This Row],[Difference between MDL and GCM]]*(Mass_Data[[#This Row],[MDL axle group 2 mass]]/Mass_Data[[#This Row],[Total (1)]]))),"")</f>
        <v>8.8815789473684212</v>
      </c>
      <c r="AE140" s="22">
        <f>IFERROR(IF(Mass_Data[[#This Row],[Check (1)]]="YES",Mass_Data[[#This Row],[MDL axle group 3 mass]],Mass_Data[[#This Row],[MDL axle group 3 mass]]-(Mass_Data[[#This Row],[Difference between MDL and GCM]]*(Mass_Data[[#This Row],[MDL axle group 3 mass]]/Mass_Data[[#This Row],[Total (1)]]))),"")</f>
        <v>22.203947368421051</v>
      </c>
      <c r="AF140" s="22" t="str">
        <f>IFERROR(IF(Mass_Data[[#This Row],[Check (1)]]="YES",Mass_Data[[#This Row],[MDL axle group 4 mass]],Mass_Data[[#This Row],[MDL axle group 4 mass]]-(Mass_Data[[#This Row],[Difference between MDL and GCM]]*(Mass_Data[[#This Row],[MDL axle group 4 mass]]/Mass_Data[[#This Row],[Total (1)]]))),"")</f>
        <v/>
      </c>
      <c r="AG140" s="22" t="str">
        <f>IFERROR(IF(Mass_Data[[#This Row],[Check (1)]]="YES",Mass_Data[[#This Row],[MDL axle group 5 mass]],Mass_Data[[#This Row],[MDL axle group 5 mass]]-(Mass_Data[[#This Row],[Difference between MDL and GCM]]*(Mass_Data[[#This Row],[MDL axle group 5 mass]]/Mass_Data[[#This Row],[Total (1)]]))),"")</f>
        <v/>
      </c>
      <c r="AH140" s="22" t="str">
        <f>IFERROR(IF(Mass_Data[[#This Row],[Check (1)]]="YES",Mass_Data[[#This Row],[MDL axle group 6 mass]],Mass_Data[[#This Row],[MDL axle group 6 mass]]-(Mass_Data[[#This Row],[Difference between MDL and GCM]]*(Mass_Data[[#This Row],[MDL axle group 6 mass]]/Mass_Data[[#This Row],[Total (1)]]))),"")</f>
        <v/>
      </c>
      <c r="AI140" s="22" t="str">
        <f>IFERROR(IF(Mass_Data[[#This Row],[Check (1)]]="YES",Mass_Data[[#This Row],[MDL axle group 7 mass]],Mass_Data[[#This Row],[MDL axle group 7 mass]]-(Mass_Data[[#This Row],[Difference between MDL and GCM]]*(Mass_Data[[#This Row],[MDL axle group 7 mass]]/Mass_Data[[#This Row],[Total (1)]]))),"")</f>
        <v/>
      </c>
      <c r="AJ140" s="81">
        <f>SUM(Mass_Data[[#This Row],[Corrected axle group 1 mass]:[Corrected axle group 7 mass]])</f>
        <v>37.5</v>
      </c>
      <c r="AK140">
        <f>Mass_Data[[#This Row],[Total (2)]]-Mass_Data[[#This Row],[GCM (t)]]</f>
        <v>0</v>
      </c>
      <c r="AL140" s="22" t="str">
        <f>IF(Mass_Data[[#This Row],[Difference between MDL and corrected axle masses]]=0,"YES","NO")</f>
        <v>YES</v>
      </c>
    </row>
    <row r="141" spans="3:38" x14ac:dyDescent="0.35">
      <c r="C141" s="10" t="str">
        <f t="shared" si="2"/>
        <v>Conventional - 5-Axle Semitrailer (GML)</v>
      </c>
      <c r="D141" s="10" t="s">
        <v>205</v>
      </c>
      <c r="E141" s="10" t="s">
        <v>220</v>
      </c>
      <c r="F141" s="11" t="s">
        <v>18</v>
      </c>
      <c r="G141" s="11" t="s">
        <v>202</v>
      </c>
      <c r="H141" t="s">
        <v>121</v>
      </c>
      <c r="I141" s="9">
        <v>39</v>
      </c>
      <c r="J141" s="14">
        <v>20.987336592060824</v>
      </c>
      <c r="K141" s="14">
        <f>Mass_Data[[#This Row],[GCM (t)]]-Mass_Data[[#This Row],[Payload (t)]]</f>
        <v>18.012663407939176</v>
      </c>
      <c r="L141" t="s">
        <v>8</v>
      </c>
      <c r="M141" t="s">
        <v>9</v>
      </c>
      <c r="N141" t="s">
        <v>30</v>
      </c>
      <c r="O141">
        <v>0</v>
      </c>
      <c r="P141">
        <v>0</v>
      </c>
      <c r="Q141">
        <v>0</v>
      </c>
      <c r="R141">
        <v>0</v>
      </c>
      <c r="S141" cm="1">
        <f t="array" ref="S141">_xlfn.XLOOKUP(Mass_Data[[#This Row],[axle group 1]]&amp;Mass_Data[[#This Row],[Mass Scheme]],Axle_Data[Axle Code]&amp;Axle_Data[Mass Scheme],Axle_Data[MDL Maximum Mass (t)],"",0)</f>
        <v>6.5</v>
      </c>
      <c r="T141" cm="1">
        <f t="array" ref="T141">_xlfn.XLOOKUP(Mass_Data[[#This Row],[axle group 2]]&amp;Mass_Data[[#This Row],[Mass Scheme]],Axle_Data[Axle Code]&amp;Axle_Data[Mass Scheme],Axle_Data[MDL Maximum Mass (t)],"",0)</f>
        <v>16.5</v>
      </c>
      <c r="U141" cm="1">
        <f t="array" ref="U141">_xlfn.XLOOKUP(Mass_Data[[#This Row],[axle group 3]]&amp;Mass_Data[[#This Row],[Mass Scheme]],Axle_Data[Axle Code]&amp;Axle_Data[Mass Scheme],Axle_Data[MDL Maximum Mass (t)],"",0)</f>
        <v>16.5</v>
      </c>
      <c r="V141" t="str" cm="1">
        <f t="array" ref="V141">_xlfn.XLOOKUP(Mass_Data[[#This Row],[axle group 4]]&amp;Mass_Data[[#This Row],[Mass Scheme]],Axle_Data[Axle Code]&amp;Axle_Data[Mass Scheme],Axle_Data[MDL Maximum Mass (t)],"",0)</f>
        <v/>
      </c>
      <c r="W141" t="str" cm="1">
        <f t="array" ref="W141">_xlfn.XLOOKUP(Mass_Data[[#This Row],[axle group 5]]&amp;Mass_Data[[#This Row],[Mass Scheme]],Axle_Data[Axle Code]&amp;Axle_Data[Mass Scheme],Axle_Data[MDL Maximum Mass (t)],"",0)</f>
        <v/>
      </c>
      <c r="X141" t="str" cm="1">
        <f t="array" ref="X141">_xlfn.XLOOKUP(Mass_Data[[#This Row],[axle group 6]]&amp;Mass_Data[[#This Row],[Mass Scheme]],Axle_Data[Axle Code]&amp;Axle_Data[Mass Scheme],Axle_Data[MDL Maximum Mass (t)],"",0)</f>
        <v/>
      </c>
      <c r="Y141" t="str" cm="1">
        <f t="array" ref="Y141">_xlfn.XLOOKUP(Mass_Data[[#This Row],[axle group 7]]&amp;Mass_Data[[#This Row],[Mass Scheme]],Axle_Data[Axle Code]&amp;Axle_Data[Mass Scheme],Axle_Data[MDL Maximum Mass (t)],"",0)</f>
        <v/>
      </c>
      <c r="Z141" s="81">
        <f>SUM(Mass_Data[[#This Row],[MDL axle group 1 mass]:[MDL axle group 7 mass]])</f>
        <v>39.5</v>
      </c>
      <c r="AA141">
        <f>Mass_Data[[#This Row],[Total (1)]]-Mass_Data[[#This Row],[GCM (t)]]</f>
        <v>0.5</v>
      </c>
      <c r="AB141" t="str">
        <f>IF(Mass_Data[[#This Row],[Difference between MDL and GCM]]=0,"YES","NO")</f>
        <v>NO</v>
      </c>
      <c r="AC141" s="22">
        <f>IFERROR(IF(Mass_Data[[#This Row],[Check (1)]]="YES",Mass_Data[[#This Row],[MDL axle group 1 mass]],Mass_Data[[#This Row],[MDL axle group 1 mass]]-(Mass_Data[[#This Row],[Difference between MDL and GCM]]*(Mass_Data[[#This Row],[MDL axle group 1 mass]]/Mass_Data[[#This Row],[Total (1)]]))),"")</f>
        <v>6.4177215189873422</v>
      </c>
      <c r="AD141" s="22">
        <f>IFERROR(IF(Mass_Data[[#This Row],[Check (1)]]="YES",Mass_Data[[#This Row],[MDL axle group 2 mass]],Mass_Data[[#This Row],[MDL axle group 2 mass]]-(Mass_Data[[#This Row],[Difference between MDL and GCM]]*(Mass_Data[[#This Row],[MDL axle group 2 mass]]/Mass_Data[[#This Row],[Total (1)]]))),"")</f>
        <v>16.291139240506329</v>
      </c>
      <c r="AE141" s="22">
        <f>IFERROR(IF(Mass_Data[[#This Row],[Check (1)]]="YES",Mass_Data[[#This Row],[MDL axle group 3 mass]],Mass_Data[[#This Row],[MDL axle group 3 mass]]-(Mass_Data[[#This Row],[Difference between MDL and GCM]]*(Mass_Data[[#This Row],[MDL axle group 3 mass]]/Mass_Data[[#This Row],[Total (1)]]))),"")</f>
        <v>16.291139240506329</v>
      </c>
      <c r="AF141" s="22" t="str">
        <f>IFERROR(IF(Mass_Data[[#This Row],[Check (1)]]="YES",Mass_Data[[#This Row],[MDL axle group 4 mass]],Mass_Data[[#This Row],[MDL axle group 4 mass]]-(Mass_Data[[#This Row],[Difference between MDL and GCM]]*(Mass_Data[[#This Row],[MDL axle group 4 mass]]/Mass_Data[[#This Row],[Total (1)]]))),"")</f>
        <v/>
      </c>
      <c r="AG141" s="22" t="str">
        <f>IFERROR(IF(Mass_Data[[#This Row],[Check (1)]]="YES",Mass_Data[[#This Row],[MDL axle group 5 mass]],Mass_Data[[#This Row],[MDL axle group 5 mass]]-(Mass_Data[[#This Row],[Difference between MDL and GCM]]*(Mass_Data[[#This Row],[MDL axle group 5 mass]]/Mass_Data[[#This Row],[Total (1)]]))),"")</f>
        <v/>
      </c>
      <c r="AH141" s="22" t="str">
        <f>IFERROR(IF(Mass_Data[[#This Row],[Check (1)]]="YES",Mass_Data[[#This Row],[MDL axle group 6 mass]],Mass_Data[[#This Row],[MDL axle group 6 mass]]-(Mass_Data[[#This Row],[Difference between MDL and GCM]]*(Mass_Data[[#This Row],[MDL axle group 6 mass]]/Mass_Data[[#This Row],[Total (1)]]))),"")</f>
        <v/>
      </c>
      <c r="AI141" s="22" t="str">
        <f>IFERROR(IF(Mass_Data[[#This Row],[Check (1)]]="YES",Mass_Data[[#This Row],[MDL axle group 7 mass]],Mass_Data[[#This Row],[MDL axle group 7 mass]]-(Mass_Data[[#This Row],[Difference between MDL and GCM]]*(Mass_Data[[#This Row],[MDL axle group 7 mass]]/Mass_Data[[#This Row],[Total (1)]]))),"")</f>
        <v/>
      </c>
      <c r="AJ141" s="81">
        <f>SUM(Mass_Data[[#This Row],[Corrected axle group 1 mass]:[Corrected axle group 7 mass]])</f>
        <v>39</v>
      </c>
      <c r="AK141">
        <f>Mass_Data[[#This Row],[Total (2)]]-Mass_Data[[#This Row],[GCM (t)]]</f>
        <v>0</v>
      </c>
      <c r="AL141" s="22" t="str">
        <f>IF(Mass_Data[[#This Row],[Difference between MDL and corrected axle masses]]=0,"YES","NO")</f>
        <v>YES</v>
      </c>
    </row>
    <row r="142" spans="3:38" x14ac:dyDescent="0.35">
      <c r="C142" s="10" t="str">
        <f t="shared" si="2"/>
        <v>Conventional - 5-Axle Semitrailer (CML)</v>
      </c>
      <c r="D142" s="10" t="s">
        <v>205</v>
      </c>
      <c r="E142" s="10" t="s">
        <v>220</v>
      </c>
      <c r="F142" s="11" t="s">
        <v>20</v>
      </c>
      <c r="G142" s="11" t="s">
        <v>202</v>
      </c>
      <c r="H142" t="s">
        <v>121</v>
      </c>
      <c r="I142" s="9">
        <v>40</v>
      </c>
      <c r="J142" s="14">
        <v>21.987336592060824</v>
      </c>
      <c r="K142" s="14">
        <f>Mass_Data[[#This Row],[GCM (t)]]-Mass_Data[[#This Row],[Payload (t)]]</f>
        <v>18.012663407939176</v>
      </c>
      <c r="L142" t="s">
        <v>8</v>
      </c>
      <c r="M142" t="s">
        <v>9</v>
      </c>
      <c r="N142" t="s">
        <v>30</v>
      </c>
      <c r="O142">
        <v>0</v>
      </c>
      <c r="P142">
        <v>0</v>
      </c>
      <c r="Q142">
        <v>0</v>
      </c>
      <c r="R142">
        <v>0</v>
      </c>
      <c r="S142" cm="1">
        <f t="array" ref="S142">_xlfn.XLOOKUP(Mass_Data[[#This Row],[axle group 1]]&amp;Mass_Data[[#This Row],[Mass Scheme]],Axle_Data[Axle Code]&amp;Axle_Data[Mass Scheme],Axle_Data[MDL Maximum Mass (t)],"",0)</f>
        <v>6.5</v>
      </c>
      <c r="T142" cm="1">
        <f t="array" ref="T142">_xlfn.XLOOKUP(Mass_Data[[#This Row],[axle group 2]]&amp;Mass_Data[[#This Row],[Mass Scheme]],Axle_Data[Axle Code]&amp;Axle_Data[Mass Scheme],Axle_Data[MDL Maximum Mass (t)],"",0)</f>
        <v>17</v>
      </c>
      <c r="U142" cm="1">
        <f t="array" ref="U142">_xlfn.XLOOKUP(Mass_Data[[#This Row],[axle group 3]]&amp;Mass_Data[[#This Row],[Mass Scheme]],Axle_Data[Axle Code]&amp;Axle_Data[Mass Scheme],Axle_Data[MDL Maximum Mass (t)],"",0)</f>
        <v>17</v>
      </c>
      <c r="V142" t="str" cm="1">
        <f t="array" ref="V142">_xlfn.XLOOKUP(Mass_Data[[#This Row],[axle group 4]]&amp;Mass_Data[[#This Row],[Mass Scheme]],Axle_Data[Axle Code]&amp;Axle_Data[Mass Scheme],Axle_Data[MDL Maximum Mass (t)],"",0)</f>
        <v/>
      </c>
      <c r="W142" t="str" cm="1">
        <f t="array" ref="W142">_xlfn.XLOOKUP(Mass_Data[[#This Row],[axle group 5]]&amp;Mass_Data[[#This Row],[Mass Scheme]],Axle_Data[Axle Code]&amp;Axle_Data[Mass Scheme],Axle_Data[MDL Maximum Mass (t)],"",0)</f>
        <v/>
      </c>
      <c r="X142" t="str" cm="1">
        <f t="array" ref="X142">_xlfn.XLOOKUP(Mass_Data[[#This Row],[axle group 6]]&amp;Mass_Data[[#This Row],[Mass Scheme]],Axle_Data[Axle Code]&amp;Axle_Data[Mass Scheme],Axle_Data[MDL Maximum Mass (t)],"",0)</f>
        <v/>
      </c>
      <c r="Y142" t="str" cm="1">
        <f t="array" ref="Y142">_xlfn.XLOOKUP(Mass_Data[[#This Row],[axle group 7]]&amp;Mass_Data[[#This Row],[Mass Scheme]],Axle_Data[Axle Code]&amp;Axle_Data[Mass Scheme],Axle_Data[MDL Maximum Mass (t)],"",0)</f>
        <v/>
      </c>
      <c r="Z142" s="81">
        <f>SUM(Mass_Data[[#This Row],[MDL axle group 1 mass]:[MDL axle group 7 mass]])</f>
        <v>40.5</v>
      </c>
      <c r="AA142">
        <f>Mass_Data[[#This Row],[Total (1)]]-Mass_Data[[#This Row],[GCM (t)]]</f>
        <v>0.5</v>
      </c>
      <c r="AB142" t="str">
        <f>IF(Mass_Data[[#This Row],[Difference between MDL and GCM]]=0,"YES","NO")</f>
        <v>NO</v>
      </c>
      <c r="AC142" s="22">
        <f>IFERROR(IF(Mass_Data[[#This Row],[Check (1)]]="YES",Mass_Data[[#This Row],[MDL axle group 1 mass]],Mass_Data[[#This Row],[MDL axle group 1 mass]]-(Mass_Data[[#This Row],[Difference between MDL and GCM]]*(Mass_Data[[#This Row],[MDL axle group 1 mass]]/Mass_Data[[#This Row],[Total (1)]]))),"")</f>
        <v>6.4197530864197532</v>
      </c>
      <c r="AD142" s="22">
        <f>IFERROR(IF(Mass_Data[[#This Row],[Check (1)]]="YES",Mass_Data[[#This Row],[MDL axle group 2 mass]],Mass_Data[[#This Row],[MDL axle group 2 mass]]-(Mass_Data[[#This Row],[Difference between MDL and GCM]]*(Mass_Data[[#This Row],[MDL axle group 2 mass]]/Mass_Data[[#This Row],[Total (1)]]))),"")</f>
        <v>16.790123456790123</v>
      </c>
      <c r="AE142" s="22">
        <f>IFERROR(IF(Mass_Data[[#This Row],[Check (1)]]="YES",Mass_Data[[#This Row],[MDL axle group 3 mass]],Mass_Data[[#This Row],[MDL axle group 3 mass]]-(Mass_Data[[#This Row],[Difference between MDL and GCM]]*(Mass_Data[[#This Row],[MDL axle group 3 mass]]/Mass_Data[[#This Row],[Total (1)]]))),"")</f>
        <v>16.790123456790123</v>
      </c>
      <c r="AF142" s="22" t="str">
        <f>IFERROR(IF(Mass_Data[[#This Row],[Check (1)]]="YES",Mass_Data[[#This Row],[MDL axle group 4 mass]],Mass_Data[[#This Row],[MDL axle group 4 mass]]-(Mass_Data[[#This Row],[Difference between MDL and GCM]]*(Mass_Data[[#This Row],[MDL axle group 4 mass]]/Mass_Data[[#This Row],[Total (1)]]))),"")</f>
        <v/>
      </c>
      <c r="AG142" s="22" t="str">
        <f>IFERROR(IF(Mass_Data[[#This Row],[Check (1)]]="YES",Mass_Data[[#This Row],[MDL axle group 5 mass]],Mass_Data[[#This Row],[MDL axle group 5 mass]]-(Mass_Data[[#This Row],[Difference between MDL and GCM]]*(Mass_Data[[#This Row],[MDL axle group 5 mass]]/Mass_Data[[#This Row],[Total (1)]]))),"")</f>
        <v/>
      </c>
      <c r="AH142" s="22" t="str">
        <f>IFERROR(IF(Mass_Data[[#This Row],[Check (1)]]="YES",Mass_Data[[#This Row],[MDL axle group 6 mass]],Mass_Data[[#This Row],[MDL axle group 6 mass]]-(Mass_Data[[#This Row],[Difference between MDL and GCM]]*(Mass_Data[[#This Row],[MDL axle group 6 mass]]/Mass_Data[[#This Row],[Total (1)]]))),"")</f>
        <v/>
      </c>
      <c r="AI142" s="22" t="str">
        <f>IFERROR(IF(Mass_Data[[#This Row],[Check (1)]]="YES",Mass_Data[[#This Row],[MDL axle group 7 mass]],Mass_Data[[#This Row],[MDL axle group 7 mass]]-(Mass_Data[[#This Row],[Difference between MDL and GCM]]*(Mass_Data[[#This Row],[MDL axle group 7 mass]]/Mass_Data[[#This Row],[Total (1)]]))),"")</f>
        <v/>
      </c>
      <c r="AJ142" s="81">
        <f>SUM(Mass_Data[[#This Row],[Corrected axle group 1 mass]:[Corrected axle group 7 mass]])</f>
        <v>40</v>
      </c>
      <c r="AK142">
        <f>Mass_Data[[#This Row],[Total (2)]]-Mass_Data[[#This Row],[GCM (t)]]</f>
        <v>0</v>
      </c>
      <c r="AL142" s="22" t="str">
        <f>IF(Mass_Data[[#This Row],[Difference between MDL and corrected axle masses]]=0,"YES","NO")</f>
        <v>YES</v>
      </c>
    </row>
    <row r="143" spans="3:38" x14ac:dyDescent="0.35">
      <c r="C143" s="10" t="str">
        <f t="shared" si="2"/>
        <v>Conventional - 5-Axle Semitrailer (HML)</v>
      </c>
      <c r="D143" s="10" t="s">
        <v>205</v>
      </c>
      <c r="E143" s="10" t="s">
        <v>220</v>
      </c>
      <c r="F143" s="11" t="s">
        <v>7</v>
      </c>
      <c r="G143" s="11" t="s">
        <v>202</v>
      </c>
      <c r="H143" t="s">
        <v>121</v>
      </c>
      <c r="I143" s="9">
        <v>40</v>
      </c>
      <c r="J143" s="14">
        <v>21.987336592060824</v>
      </c>
      <c r="K143" s="14">
        <f>Mass_Data[[#This Row],[GCM (t)]]-Mass_Data[[#This Row],[Payload (t)]]</f>
        <v>18.012663407939176</v>
      </c>
      <c r="L143" t="s">
        <v>8</v>
      </c>
      <c r="M143" t="s">
        <v>9</v>
      </c>
      <c r="N143" t="s">
        <v>30</v>
      </c>
      <c r="O143">
        <v>0</v>
      </c>
      <c r="P143">
        <v>0</v>
      </c>
      <c r="Q143">
        <v>0</v>
      </c>
      <c r="R143">
        <v>0</v>
      </c>
      <c r="S143" cm="1">
        <f t="array" ref="S143">_xlfn.XLOOKUP(Mass_Data[[#This Row],[axle group 1]]&amp;Mass_Data[[#This Row],[Mass Scheme]],Axle_Data[Axle Code]&amp;Axle_Data[Mass Scheme],Axle_Data[MDL Maximum Mass (t)],"",0)</f>
        <v>6.5</v>
      </c>
      <c r="T143" cm="1">
        <f t="array" ref="T143">_xlfn.XLOOKUP(Mass_Data[[#This Row],[axle group 2]]&amp;Mass_Data[[#This Row],[Mass Scheme]],Axle_Data[Axle Code]&amp;Axle_Data[Mass Scheme],Axle_Data[MDL Maximum Mass (t)],"",0)</f>
        <v>17</v>
      </c>
      <c r="U143" cm="1">
        <f t="array" ref="U143">_xlfn.XLOOKUP(Mass_Data[[#This Row],[axle group 3]]&amp;Mass_Data[[#This Row],[Mass Scheme]],Axle_Data[Axle Code]&amp;Axle_Data[Mass Scheme],Axle_Data[MDL Maximum Mass (t)],"",0)</f>
        <v>17</v>
      </c>
      <c r="V143" t="str" cm="1">
        <f t="array" ref="V143">_xlfn.XLOOKUP(Mass_Data[[#This Row],[axle group 4]]&amp;Mass_Data[[#This Row],[Mass Scheme]],Axle_Data[Axle Code]&amp;Axle_Data[Mass Scheme],Axle_Data[MDL Maximum Mass (t)],"",0)</f>
        <v/>
      </c>
      <c r="W143" t="str" cm="1">
        <f t="array" ref="W143">_xlfn.XLOOKUP(Mass_Data[[#This Row],[axle group 5]]&amp;Mass_Data[[#This Row],[Mass Scheme]],Axle_Data[Axle Code]&amp;Axle_Data[Mass Scheme],Axle_Data[MDL Maximum Mass (t)],"",0)</f>
        <v/>
      </c>
      <c r="X143" t="str" cm="1">
        <f t="array" ref="X143">_xlfn.XLOOKUP(Mass_Data[[#This Row],[axle group 6]]&amp;Mass_Data[[#This Row],[Mass Scheme]],Axle_Data[Axle Code]&amp;Axle_Data[Mass Scheme],Axle_Data[MDL Maximum Mass (t)],"",0)</f>
        <v/>
      </c>
      <c r="Y143" t="str" cm="1">
        <f t="array" ref="Y143">_xlfn.XLOOKUP(Mass_Data[[#This Row],[axle group 7]]&amp;Mass_Data[[#This Row],[Mass Scheme]],Axle_Data[Axle Code]&amp;Axle_Data[Mass Scheme],Axle_Data[MDL Maximum Mass (t)],"",0)</f>
        <v/>
      </c>
      <c r="Z143" s="81">
        <f>SUM(Mass_Data[[#This Row],[MDL axle group 1 mass]:[MDL axle group 7 mass]])</f>
        <v>40.5</v>
      </c>
      <c r="AA143">
        <f>Mass_Data[[#This Row],[Total (1)]]-Mass_Data[[#This Row],[GCM (t)]]</f>
        <v>0.5</v>
      </c>
      <c r="AB143" t="str">
        <f>IF(Mass_Data[[#This Row],[Difference between MDL and GCM]]=0,"YES","NO")</f>
        <v>NO</v>
      </c>
      <c r="AC143" s="22">
        <f>IFERROR(IF(Mass_Data[[#This Row],[Check (1)]]="YES",Mass_Data[[#This Row],[MDL axle group 1 mass]],Mass_Data[[#This Row],[MDL axle group 1 mass]]-(Mass_Data[[#This Row],[Difference between MDL and GCM]]*(Mass_Data[[#This Row],[MDL axle group 1 mass]]/Mass_Data[[#This Row],[Total (1)]]))),"")</f>
        <v>6.4197530864197532</v>
      </c>
      <c r="AD143" s="22">
        <f>IFERROR(IF(Mass_Data[[#This Row],[Check (1)]]="YES",Mass_Data[[#This Row],[MDL axle group 2 mass]],Mass_Data[[#This Row],[MDL axle group 2 mass]]-(Mass_Data[[#This Row],[Difference between MDL and GCM]]*(Mass_Data[[#This Row],[MDL axle group 2 mass]]/Mass_Data[[#This Row],[Total (1)]]))),"")</f>
        <v>16.790123456790123</v>
      </c>
      <c r="AE143" s="22">
        <f>IFERROR(IF(Mass_Data[[#This Row],[Check (1)]]="YES",Mass_Data[[#This Row],[MDL axle group 3 mass]],Mass_Data[[#This Row],[MDL axle group 3 mass]]-(Mass_Data[[#This Row],[Difference between MDL and GCM]]*(Mass_Data[[#This Row],[MDL axle group 3 mass]]/Mass_Data[[#This Row],[Total (1)]]))),"")</f>
        <v>16.790123456790123</v>
      </c>
      <c r="AF143" s="22" t="str">
        <f>IFERROR(IF(Mass_Data[[#This Row],[Check (1)]]="YES",Mass_Data[[#This Row],[MDL axle group 4 mass]],Mass_Data[[#This Row],[MDL axle group 4 mass]]-(Mass_Data[[#This Row],[Difference between MDL and GCM]]*(Mass_Data[[#This Row],[MDL axle group 4 mass]]/Mass_Data[[#This Row],[Total (1)]]))),"")</f>
        <v/>
      </c>
      <c r="AG143" s="22" t="str">
        <f>IFERROR(IF(Mass_Data[[#This Row],[Check (1)]]="YES",Mass_Data[[#This Row],[MDL axle group 5 mass]],Mass_Data[[#This Row],[MDL axle group 5 mass]]-(Mass_Data[[#This Row],[Difference between MDL and GCM]]*(Mass_Data[[#This Row],[MDL axle group 5 mass]]/Mass_Data[[#This Row],[Total (1)]]))),"")</f>
        <v/>
      </c>
      <c r="AH143" s="22" t="str">
        <f>IFERROR(IF(Mass_Data[[#This Row],[Check (1)]]="YES",Mass_Data[[#This Row],[MDL axle group 6 mass]],Mass_Data[[#This Row],[MDL axle group 6 mass]]-(Mass_Data[[#This Row],[Difference between MDL and GCM]]*(Mass_Data[[#This Row],[MDL axle group 6 mass]]/Mass_Data[[#This Row],[Total (1)]]))),"")</f>
        <v/>
      </c>
      <c r="AI143" s="22" t="str">
        <f>IFERROR(IF(Mass_Data[[#This Row],[Check (1)]]="YES",Mass_Data[[#This Row],[MDL axle group 7 mass]],Mass_Data[[#This Row],[MDL axle group 7 mass]]-(Mass_Data[[#This Row],[Difference between MDL and GCM]]*(Mass_Data[[#This Row],[MDL axle group 7 mass]]/Mass_Data[[#This Row],[Total (1)]]))),"")</f>
        <v/>
      </c>
      <c r="AJ143" s="81">
        <f>SUM(Mass_Data[[#This Row],[Corrected axle group 1 mass]:[Corrected axle group 7 mass]])</f>
        <v>40</v>
      </c>
      <c r="AK143">
        <f>Mass_Data[[#This Row],[Total (2)]]-Mass_Data[[#This Row],[GCM (t)]]</f>
        <v>0</v>
      </c>
      <c r="AL143" s="22" t="str">
        <f>IF(Mass_Data[[#This Row],[Difference between MDL and corrected axle masses]]=0,"YES","NO")</f>
        <v>YES</v>
      </c>
    </row>
    <row r="144" spans="3:38" x14ac:dyDescent="0.35">
      <c r="C144" s="10" t="str">
        <f t="shared" si="2"/>
        <v>Conventional - 6-Axle Semitrailer (GML)</v>
      </c>
      <c r="D144" s="10" t="s">
        <v>153</v>
      </c>
      <c r="E144" s="10" t="s">
        <v>220</v>
      </c>
      <c r="F144" s="11" t="s">
        <v>18</v>
      </c>
      <c r="G144" s="11" t="s">
        <v>202</v>
      </c>
      <c r="H144" t="s">
        <v>55</v>
      </c>
      <c r="I144" s="9">
        <v>42.5</v>
      </c>
      <c r="J144" s="14">
        <v>24.468580510030989</v>
      </c>
      <c r="K144" s="14">
        <f>Mass_Data[[#This Row],[GCM (t)]]-Mass_Data[[#This Row],[Payload (t)]]</f>
        <v>18.031419489969011</v>
      </c>
      <c r="L144" t="s">
        <v>8</v>
      </c>
      <c r="M144" t="s">
        <v>9</v>
      </c>
      <c r="N144" t="s">
        <v>10</v>
      </c>
      <c r="O144">
        <v>0</v>
      </c>
      <c r="P144">
        <v>0</v>
      </c>
      <c r="Q144">
        <v>0</v>
      </c>
      <c r="R144">
        <v>0</v>
      </c>
      <c r="S144" cm="1">
        <f t="array" ref="S144">_xlfn.XLOOKUP(Mass_Data[[#This Row],[axle group 1]]&amp;Mass_Data[[#This Row],[Mass Scheme]],Axle_Data[Axle Code]&amp;Axle_Data[Mass Scheme],Axle_Data[MDL Maximum Mass (t)],"",0)</f>
        <v>6.5</v>
      </c>
      <c r="T144" cm="1">
        <f t="array" ref="T144">_xlfn.XLOOKUP(Mass_Data[[#This Row],[axle group 2]]&amp;Mass_Data[[#This Row],[Mass Scheme]],Axle_Data[Axle Code]&amp;Axle_Data[Mass Scheme],Axle_Data[MDL Maximum Mass (t)],"",0)</f>
        <v>16.5</v>
      </c>
      <c r="U144" cm="1">
        <f t="array" ref="U144">_xlfn.XLOOKUP(Mass_Data[[#This Row],[axle group 3]]&amp;Mass_Data[[#This Row],[Mass Scheme]],Axle_Data[Axle Code]&amp;Axle_Data[Mass Scheme],Axle_Data[MDL Maximum Mass (t)],"",0)</f>
        <v>20</v>
      </c>
      <c r="V144" t="str" cm="1">
        <f t="array" ref="V144">_xlfn.XLOOKUP(Mass_Data[[#This Row],[axle group 4]]&amp;Mass_Data[[#This Row],[Mass Scheme]],Axle_Data[Axle Code]&amp;Axle_Data[Mass Scheme],Axle_Data[MDL Maximum Mass (t)],"",0)</f>
        <v/>
      </c>
      <c r="W144" t="str" cm="1">
        <f t="array" ref="W144">_xlfn.XLOOKUP(Mass_Data[[#This Row],[axle group 5]]&amp;Mass_Data[[#This Row],[Mass Scheme]],Axle_Data[Axle Code]&amp;Axle_Data[Mass Scheme],Axle_Data[MDL Maximum Mass (t)],"",0)</f>
        <v/>
      </c>
      <c r="X144" t="str" cm="1">
        <f t="array" ref="X144">_xlfn.XLOOKUP(Mass_Data[[#This Row],[axle group 6]]&amp;Mass_Data[[#This Row],[Mass Scheme]],Axle_Data[Axle Code]&amp;Axle_Data[Mass Scheme],Axle_Data[MDL Maximum Mass (t)],"",0)</f>
        <v/>
      </c>
      <c r="Y144" t="str" cm="1">
        <f t="array" ref="Y144">_xlfn.XLOOKUP(Mass_Data[[#This Row],[axle group 7]]&amp;Mass_Data[[#This Row],[Mass Scheme]],Axle_Data[Axle Code]&amp;Axle_Data[Mass Scheme],Axle_Data[MDL Maximum Mass (t)],"",0)</f>
        <v/>
      </c>
      <c r="Z144" s="81">
        <f>SUM(Mass_Data[[#This Row],[MDL axle group 1 mass]:[MDL axle group 7 mass]])</f>
        <v>43</v>
      </c>
      <c r="AA144">
        <f>Mass_Data[[#This Row],[Total (1)]]-Mass_Data[[#This Row],[GCM (t)]]</f>
        <v>0.5</v>
      </c>
      <c r="AB144" t="str">
        <f>IF(Mass_Data[[#This Row],[Difference between MDL and GCM]]=0,"YES","NO")</f>
        <v>NO</v>
      </c>
      <c r="AC144" s="22">
        <f>IFERROR(IF(Mass_Data[[#This Row],[Check (1)]]="YES",Mass_Data[[#This Row],[MDL axle group 1 mass]],Mass_Data[[#This Row],[MDL axle group 1 mass]]-(Mass_Data[[#This Row],[Difference between MDL and GCM]]*(Mass_Data[[#This Row],[MDL axle group 1 mass]]/Mass_Data[[#This Row],[Total (1)]]))),"")</f>
        <v>6.4244186046511631</v>
      </c>
      <c r="AD144" s="22">
        <f>IFERROR(IF(Mass_Data[[#This Row],[Check (1)]]="YES",Mass_Data[[#This Row],[MDL axle group 2 mass]],Mass_Data[[#This Row],[MDL axle group 2 mass]]-(Mass_Data[[#This Row],[Difference between MDL and GCM]]*(Mass_Data[[#This Row],[MDL axle group 2 mass]]/Mass_Data[[#This Row],[Total (1)]]))),"")</f>
        <v>16.308139534883722</v>
      </c>
      <c r="AE144" s="22">
        <f>IFERROR(IF(Mass_Data[[#This Row],[Check (1)]]="YES",Mass_Data[[#This Row],[MDL axle group 3 mass]],Mass_Data[[#This Row],[MDL axle group 3 mass]]-(Mass_Data[[#This Row],[Difference between MDL and GCM]]*(Mass_Data[[#This Row],[MDL axle group 3 mass]]/Mass_Data[[#This Row],[Total (1)]]))),"")</f>
        <v>19.767441860465116</v>
      </c>
      <c r="AF144" s="22" t="str">
        <f>IFERROR(IF(Mass_Data[[#This Row],[Check (1)]]="YES",Mass_Data[[#This Row],[MDL axle group 4 mass]],Mass_Data[[#This Row],[MDL axle group 4 mass]]-(Mass_Data[[#This Row],[Difference between MDL and GCM]]*(Mass_Data[[#This Row],[MDL axle group 4 mass]]/Mass_Data[[#This Row],[Total (1)]]))),"")</f>
        <v/>
      </c>
      <c r="AG144" s="22" t="str">
        <f>IFERROR(IF(Mass_Data[[#This Row],[Check (1)]]="YES",Mass_Data[[#This Row],[MDL axle group 5 mass]],Mass_Data[[#This Row],[MDL axle group 5 mass]]-(Mass_Data[[#This Row],[Difference between MDL and GCM]]*(Mass_Data[[#This Row],[MDL axle group 5 mass]]/Mass_Data[[#This Row],[Total (1)]]))),"")</f>
        <v/>
      </c>
      <c r="AH144" s="22" t="str">
        <f>IFERROR(IF(Mass_Data[[#This Row],[Check (1)]]="YES",Mass_Data[[#This Row],[MDL axle group 6 mass]],Mass_Data[[#This Row],[MDL axle group 6 mass]]-(Mass_Data[[#This Row],[Difference between MDL and GCM]]*(Mass_Data[[#This Row],[MDL axle group 6 mass]]/Mass_Data[[#This Row],[Total (1)]]))),"")</f>
        <v/>
      </c>
      <c r="AI144" s="22" t="str">
        <f>IFERROR(IF(Mass_Data[[#This Row],[Check (1)]]="YES",Mass_Data[[#This Row],[MDL axle group 7 mass]],Mass_Data[[#This Row],[MDL axle group 7 mass]]-(Mass_Data[[#This Row],[Difference between MDL and GCM]]*(Mass_Data[[#This Row],[MDL axle group 7 mass]]/Mass_Data[[#This Row],[Total (1)]]))),"")</f>
        <v/>
      </c>
      <c r="AJ144" s="81">
        <f>SUM(Mass_Data[[#This Row],[Corrected axle group 1 mass]:[Corrected axle group 7 mass]])</f>
        <v>42.5</v>
      </c>
      <c r="AK144">
        <f>Mass_Data[[#This Row],[Total (2)]]-Mass_Data[[#This Row],[GCM (t)]]</f>
        <v>0</v>
      </c>
      <c r="AL144" s="22" t="str">
        <f>IF(Mass_Data[[#This Row],[Difference between MDL and corrected axle masses]]=0,"YES","NO")</f>
        <v>YES</v>
      </c>
    </row>
    <row r="145" spans="3:38" x14ac:dyDescent="0.35">
      <c r="C145" s="10" t="str">
        <f t="shared" si="2"/>
        <v>Conventional - 6-Axle Semitrailer (CML)</v>
      </c>
      <c r="D145" s="10" t="s">
        <v>153</v>
      </c>
      <c r="E145" s="10" t="s">
        <v>220</v>
      </c>
      <c r="F145" s="11" t="s">
        <v>20</v>
      </c>
      <c r="G145" s="11" t="s">
        <v>202</v>
      </c>
      <c r="H145" t="s">
        <v>55</v>
      </c>
      <c r="I145" s="9">
        <v>43.5</v>
      </c>
      <c r="J145" s="14">
        <v>25.468580510030989</v>
      </c>
      <c r="K145" s="14">
        <f>Mass_Data[[#This Row],[GCM (t)]]-Mass_Data[[#This Row],[Payload (t)]]</f>
        <v>18.031419489969011</v>
      </c>
      <c r="L145" t="s">
        <v>8</v>
      </c>
      <c r="M145" t="s">
        <v>9</v>
      </c>
      <c r="N145" t="s">
        <v>10</v>
      </c>
      <c r="O145">
        <v>0</v>
      </c>
      <c r="P145">
        <v>0</v>
      </c>
      <c r="Q145">
        <v>0</v>
      </c>
      <c r="R145">
        <v>0</v>
      </c>
      <c r="S145" cm="1">
        <f t="array" ref="S145">_xlfn.XLOOKUP(Mass_Data[[#This Row],[axle group 1]]&amp;Mass_Data[[#This Row],[Mass Scheme]],Axle_Data[Axle Code]&amp;Axle_Data[Mass Scheme],Axle_Data[MDL Maximum Mass (t)],"",0)</f>
        <v>6.5</v>
      </c>
      <c r="T145" cm="1">
        <f t="array" ref="T145">_xlfn.XLOOKUP(Mass_Data[[#This Row],[axle group 2]]&amp;Mass_Data[[#This Row],[Mass Scheme]],Axle_Data[Axle Code]&amp;Axle_Data[Mass Scheme],Axle_Data[MDL Maximum Mass (t)],"",0)</f>
        <v>17</v>
      </c>
      <c r="U145" cm="1">
        <f t="array" ref="U145">_xlfn.XLOOKUP(Mass_Data[[#This Row],[axle group 3]]&amp;Mass_Data[[#This Row],[Mass Scheme]],Axle_Data[Axle Code]&amp;Axle_Data[Mass Scheme],Axle_Data[MDL Maximum Mass (t)],"",0)</f>
        <v>21</v>
      </c>
      <c r="V145" t="str" cm="1">
        <f t="array" ref="V145">_xlfn.XLOOKUP(Mass_Data[[#This Row],[axle group 4]]&amp;Mass_Data[[#This Row],[Mass Scheme]],Axle_Data[Axle Code]&amp;Axle_Data[Mass Scheme],Axle_Data[MDL Maximum Mass (t)],"",0)</f>
        <v/>
      </c>
      <c r="W145" t="str" cm="1">
        <f t="array" ref="W145">_xlfn.XLOOKUP(Mass_Data[[#This Row],[axle group 5]]&amp;Mass_Data[[#This Row],[Mass Scheme]],Axle_Data[Axle Code]&amp;Axle_Data[Mass Scheme],Axle_Data[MDL Maximum Mass (t)],"",0)</f>
        <v/>
      </c>
      <c r="X145" t="str" cm="1">
        <f t="array" ref="X145">_xlfn.XLOOKUP(Mass_Data[[#This Row],[axle group 6]]&amp;Mass_Data[[#This Row],[Mass Scheme]],Axle_Data[Axle Code]&amp;Axle_Data[Mass Scheme],Axle_Data[MDL Maximum Mass (t)],"",0)</f>
        <v/>
      </c>
      <c r="Y145" t="str" cm="1">
        <f t="array" ref="Y145">_xlfn.XLOOKUP(Mass_Data[[#This Row],[axle group 7]]&amp;Mass_Data[[#This Row],[Mass Scheme]],Axle_Data[Axle Code]&amp;Axle_Data[Mass Scheme],Axle_Data[MDL Maximum Mass (t)],"",0)</f>
        <v/>
      </c>
      <c r="Z145" s="81">
        <f>SUM(Mass_Data[[#This Row],[MDL axle group 1 mass]:[MDL axle group 7 mass]])</f>
        <v>44.5</v>
      </c>
      <c r="AA145">
        <f>Mass_Data[[#This Row],[Total (1)]]-Mass_Data[[#This Row],[GCM (t)]]</f>
        <v>1</v>
      </c>
      <c r="AB145" t="str">
        <f>IF(Mass_Data[[#This Row],[Difference between MDL and GCM]]=0,"YES","NO")</f>
        <v>NO</v>
      </c>
      <c r="AC145" s="22">
        <f>IFERROR(IF(Mass_Data[[#This Row],[Check (1)]]="YES",Mass_Data[[#This Row],[MDL axle group 1 mass]],Mass_Data[[#This Row],[MDL axle group 1 mass]]-(Mass_Data[[#This Row],[Difference between MDL and GCM]]*(Mass_Data[[#This Row],[MDL axle group 1 mass]]/Mass_Data[[#This Row],[Total (1)]]))),"")</f>
        <v>6.3539325842696632</v>
      </c>
      <c r="AD145" s="22">
        <f>IFERROR(IF(Mass_Data[[#This Row],[Check (1)]]="YES",Mass_Data[[#This Row],[MDL axle group 2 mass]],Mass_Data[[#This Row],[MDL axle group 2 mass]]-(Mass_Data[[#This Row],[Difference between MDL and GCM]]*(Mass_Data[[#This Row],[MDL axle group 2 mass]]/Mass_Data[[#This Row],[Total (1)]]))),"")</f>
        <v>16.617977528089888</v>
      </c>
      <c r="AE145" s="22">
        <f>IFERROR(IF(Mass_Data[[#This Row],[Check (1)]]="YES",Mass_Data[[#This Row],[MDL axle group 3 mass]],Mass_Data[[#This Row],[MDL axle group 3 mass]]-(Mass_Data[[#This Row],[Difference between MDL and GCM]]*(Mass_Data[[#This Row],[MDL axle group 3 mass]]/Mass_Data[[#This Row],[Total (1)]]))),"")</f>
        <v>20.528089887640448</v>
      </c>
      <c r="AF145" s="22" t="str">
        <f>IFERROR(IF(Mass_Data[[#This Row],[Check (1)]]="YES",Mass_Data[[#This Row],[MDL axle group 4 mass]],Mass_Data[[#This Row],[MDL axle group 4 mass]]-(Mass_Data[[#This Row],[Difference between MDL and GCM]]*(Mass_Data[[#This Row],[MDL axle group 4 mass]]/Mass_Data[[#This Row],[Total (1)]]))),"")</f>
        <v/>
      </c>
      <c r="AG145" s="22" t="str">
        <f>IFERROR(IF(Mass_Data[[#This Row],[Check (1)]]="YES",Mass_Data[[#This Row],[MDL axle group 5 mass]],Mass_Data[[#This Row],[MDL axle group 5 mass]]-(Mass_Data[[#This Row],[Difference between MDL and GCM]]*(Mass_Data[[#This Row],[MDL axle group 5 mass]]/Mass_Data[[#This Row],[Total (1)]]))),"")</f>
        <v/>
      </c>
      <c r="AH145" s="22" t="str">
        <f>IFERROR(IF(Mass_Data[[#This Row],[Check (1)]]="YES",Mass_Data[[#This Row],[MDL axle group 6 mass]],Mass_Data[[#This Row],[MDL axle group 6 mass]]-(Mass_Data[[#This Row],[Difference between MDL and GCM]]*(Mass_Data[[#This Row],[MDL axle group 6 mass]]/Mass_Data[[#This Row],[Total (1)]]))),"")</f>
        <v/>
      </c>
      <c r="AI145" s="22" t="str">
        <f>IFERROR(IF(Mass_Data[[#This Row],[Check (1)]]="YES",Mass_Data[[#This Row],[MDL axle group 7 mass]],Mass_Data[[#This Row],[MDL axle group 7 mass]]-(Mass_Data[[#This Row],[Difference between MDL and GCM]]*(Mass_Data[[#This Row],[MDL axle group 7 mass]]/Mass_Data[[#This Row],[Total (1)]]))),"")</f>
        <v/>
      </c>
      <c r="AJ145" s="81">
        <f>SUM(Mass_Data[[#This Row],[Corrected axle group 1 mass]:[Corrected axle group 7 mass]])</f>
        <v>43.5</v>
      </c>
      <c r="AK145">
        <f>Mass_Data[[#This Row],[Total (2)]]-Mass_Data[[#This Row],[GCM (t)]]</f>
        <v>0</v>
      </c>
      <c r="AL145" s="22" t="str">
        <f>IF(Mass_Data[[#This Row],[Difference between MDL and corrected axle masses]]=0,"YES","NO")</f>
        <v>YES</v>
      </c>
    </row>
    <row r="146" spans="3:38" x14ac:dyDescent="0.35">
      <c r="C146" s="10" t="str">
        <f t="shared" si="2"/>
        <v>Conventional - 6-Axle Semitrailer (HML)</v>
      </c>
      <c r="D146" s="10" t="s">
        <v>153</v>
      </c>
      <c r="E146" s="10" t="s">
        <v>220</v>
      </c>
      <c r="F146" s="11" t="s">
        <v>7</v>
      </c>
      <c r="G146" s="11" t="s">
        <v>202</v>
      </c>
      <c r="H146" t="s">
        <v>55</v>
      </c>
      <c r="I146" s="9">
        <v>45.5</v>
      </c>
      <c r="J146" s="14">
        <v>27.468580510030989</v>
      </c>
      <c r="K146" s="14">
        <f>Mass_Data[[#This Row],[GCM (t)]]-Mass_Data[[#This Row],[Payload (t)]]</f>
        <v>18.031419489969011</v>
      </c>
      <c r="L146" t="s">
        <v>8</v>
      </c>
      <c r="M146" t="s">
        <v>9</v>
      </c>
      <c r="N146" t="s">
        <v>10</v>
      </c>
      <c r="O146">
        <v>0</v>
      </c>
      <c r="P146">
        <v>0</v>
      </c>
      <c r="Q146">
        <v>0</v>
      </c>
      <c r="R146">
        <v>0</v>
      </c>
      <c r="S146" cm="1">
        <f t="array" ref="S146">_xlfn.XLOOKUP(Mass_Data[[#This Row],[axle group 1]]&amp;Mass_Data[[#This Row],[Mass Scheme]],Axle_Data[Axle Code]&amp;Axle_Data[Mass Scheme],Axle_Data[MDL Maximum Mass (t)],"",0)</f>
        <v>6.5</v>
      </c>
      <c r="T146" cm="1">
        <f t="array" ref="T146">_xlfn.XLOOKUP(Mass_Data[[#This Row],[axle group 2]]&amp;Mass_Data[[#This Row],[Mass Scheme]],Axle_Data[Axle Code]&amp;Axle_Data[Mass Scheme],Axle_Data[MDL Maximum Mass (t)],"",0)</f>
        <v>17</v>
      </c>
      <c r="U146" cm="1">
        <f t="array" ref="U146">_xlfn.XLOOKUP(Mass_Data[[#This Row],[axle group 3]]&amp;Mass_Data[[#This Row],[Mass Scheme]],Axle_Data[Axle Code]&amp;Axle_Data[Mass Scheme],Axle_Data[MDL Maximum Mass (t)],"",0)</f>
        <v>22.5</v>
      </c>
      <c r="V146" t="str" cm="1">
        <f t="array" ref="V146">_xlfn.XLOOKUP(Mass_Data[[#This Row],[axle group 4]]&amp;Mass_Data[[#This Row],[Mass Scheme]],Axle_Data[Axle Code]&amp;Axle_Data[Mass Scheme],Axle_Data[MDL Maximum Mass (t)],"",0)</f>
        <v/>
      </c>
      <c r="W146" t="str" cm="1">
        <f t="array" ref="W146">_xlfn.XLOOKUP(Mass_Data[[#This Row],[axle group 5]]&amp;Mass_Data[[#This Row],[Mass Scheme]],Axle_Data[Axle Code]&amp;Axle_Data[Mass Scheme],Axle_Data[MDL Maximum Mass (t)],"",0)</f>
        <v/>
      </c>
      <c r="X146" t="str" cm="1">
        <f t="array" ref="X146">_xlfn.XLOOKUP(Mass_Data[[#This Row],[axle group 6]]&amp;Mass_Data[[#This Row],[Mass Scheme]],Axle_Data[Axle Code]&amp;Axle_Data[Mass Scheme],Axle_Data[MDL Maximum Mass (t)],"",0)</f>
        <v/>
      </c>
      <c r="Y146" t="str" cm="1">
        <f t="array" ref="Y146">_xlfn.XLOOKUP(Mass_Data[[#This Row],[axle group 7]]&amp;Mass_Data[[#This Row],[Mass Scheme]],Axle_Data[Axle Code]&amp;Axle_Data[Mass Scheme],Axle_Data[MDL Maximum Mass (t)],"",0)</f>
        <v/>
      </c>
      <c r="Z146" s="81">
        <f>SUM(Mass_Data[[#This Row],[MDL axle group 1 mass]:[MDL axle group 7 mass]])</f>
        <v>46</v>
      </c>
      <c r="AA146">
        <f>Mass_Data[[#This Row],[Total (1)]]-Mass_Data[[#This Row],[GCM (t)]]</f>
        <v>0.5</v>
      </c>
      <c r="AB146" t="str">
        <f>IF(Mass_Data[[#This Row],[Difference between MDL and GCM]]=0,"YES","NO")</f>
        <v>NO</v>
      </c>
      <c r="AC146" s="22">
        <f>IFERROR(IF(Mass_Data[[#This Row],[Check (1)]]="YES",Mass_Data[[#This Row],[MDL axle group 1 mass]],Mass_Data[[#This Row],[MDL axle group 1 mass]]-(Mass_Data[[#This Row],[Difference between MDL and GCM]]*(Mass_Data[[#This Row],[MDL axle group 1 mass]]/Mass_Data[[#This Row],[Total (1)]]))),"")</f>
        <v>6.4293478260869561</v>
      </c>
      <c r="AD146" s="22">
        <f>IFERROR(IF(Mass_Data[[#This Row],[Check (1)]]="YES",Mass_Data[[#This Row],[MDL axle group 2 mass]],Mass_Data[[#This Row],[MDL axle group 2 mass]]-(Mass_Data[[#This Row],[Difference between MDL and GCM]]*(Mass_Data[[#This Row],[MDL axle group 2 mass]]/Mass_Data[[#This Row],[Total (1)]]))),"")</f>
        <v>16.815217391304348</v>
      </c>
      <c r="AE146" s="22">
        <f>IFERROR(IF(Mass_Data[[#This Row],[Check (1)]]="YES",Mass_Data[[#This Row],[MDL axle group 3 mass]],Mass_Data[[#This Row],[MDL axle group 3 mass]]-(Mass_Data[[#This Row],[Difference between MDL and GCM]]*(Mass_Data[[#This Row],[MDL axle group 3 mass]]/Mass_Data[[#This Row],[Total (1)]]))),"")</f>
        <v>22.255434782608695</v>
      </c>
      <c r="AF146" s="22" t="str">
        <f>IFERROR(IF(Mass_Data[[#This Row],[Check (1)]]="YES",Mass_Data[[#This Row],[MDL axle group 4 mass]],Mass_Data[[#This Row],[MDL axle group 4 mass]]-(Mass_Data[[#This Row],[Difference between MDL and GCM]]*(Mass_Data[[#This Row],[MDL axle group 4 mass]]/Mass_Data[[#This Row],[Total (1)]]))),"")</f>
        <v/>
      </c>
      <c r="AG146" s="22" t="str">
        <f>IFERROR(IF(Mass_Data[[#This Row],[Check (1)]]="YES",Mass_Data[[#This Row],[MDL axle group 5 mass]],Mass_Data[[#This Row],[MDL axle group 5 mass]]-(Mass_Data[[#This Row],[Difference between MDL and GCM]]*(Mass_Data[[#This Row],[MDL axle group 5 mass]]/Mass_Data[[#This Row],[Total (1)]]))),"")</f>
        <v/>
      </c>
      <c r="AH146" s="22" t="str">
        <f>IFERROR(IF(Mass_Data[[#This Row],[Check (1)]]="YES",Mass_Data[[#This Row],[MDL axle group 6 mass]],Mass_Data[[#This Row],[MDL axle group 6 mass]]-(Mass_Data[[#This Row],[Difference between MDL and GCM]]*(Mass_Data[[#This Row],[MDL axle group 6 mass]]/Mass_Data[[#This Row],[Total (1)]]))),"")</f>
        <v/>
      </c>
      <c r="AI146" s="22" t="str">
        <f>IFERROR(IF(Mass_Data[[#This Row],[Check (1)]]="YES",Mass_Data[[#This Row],[MDL axle group 7 mass]],Mass_Data[[#This Row],[MDL axle group 7 mass]]-(Mass_Data[[#This Row],[Difference between MDL and GCM]]*(Mass_Data[[#This Row],[MDL axle group 7 mass]]/Mass_Data[[#This Row],[Total (1)]]))),"")</f>
        <v/>
      </c>
      <c r="AJ146" s="81">
        <f>SUM(Mass_Data[[#This Row],[Corrected axle group 1 mass]:[Corrected axle group 7 mass]])</f>
        <v>45.5</v>
      </c>
      <c r="AK146">
        <f>Mass_Data[[#This Row],[Total (2)]]-Mass_Data[[#This Row],[GCM (t)]]</f>
        <v>0</v>
      </c>
      <c r="AL146" s="22" t="str">
        <f>IF(Mass_Data[[#This Row],[Difference between MDL and corrected axle masses]]=0,"YES","NO")</f>
        <v>YES</v>
      </c>
    </row>
    <row r="147" spans="3:38" x14ac:dyDescent="0.35">
      <c r="C147" s="10" t="str">
        <f t="shared" si="2"/>
        <v>Conventional - 2-Axle Truck and 2-Axle Dog Trailer (GML)</v>
      </c>
      <c r="D147" s="10" t="s">
        <v>200</v>
      </c>
      <c r="E147" s="10" t="s">
        <v>220</v>
      </c>
      <c r="F147" s="11" t="s">
        <v>18</v>
      </c>
      <c r="G147" s="11" t="s">
        <v>202</v>
      </c>
      <c r="H147" t="s">
        <v>135</v>
      </c>
      <c r="I147" s="9">
        <v>30</v>
      </c>
      <c r="J147" s="14">
        <v>19.948394435351883</v>
      </c>
      <c r="K147" s="14">
        <f>Mass_Data[[#This Row],[GCM (t)]]-Mass_Data[[#This Row],[Payload (t)]]</f>
        <v>10.051605564648117</v>
      </c>
      <c r="L147" t="s">
        <v>8</v>
      </c>
      <c r="M147" t="s">
        <v>24</v>
      </c>
      <c r="N147" t="s">
        <v>24</v>
      </c>
      <c r="O147" t="s">
        <v>24</v>
      </c>
      <c r="P147">
        <v>0</v>
      </c>
      <c r="Q147">
        <v>0</v>
      </c>
      <c r="R147">
        <v>0</v>
      </c>
      <c r="S147" cm="1">
        <f t="array" ref="S147">_xlfn.XLOOKUP(Mass_Data[[#This Row],[axle group 1]]&amp;Mass_Data[[#This Row],[Mass Scheme]],Axle_Data[Axle Code]&amp;Axle_Data[Mass Scheme],Axle_Data[MDL Maximum Mass (t)],"",0)</f>
        <v>6.5</v>
      </c>
      <c r="T147" cm="1">
        <f t="array" ref="T147">_xlfn.XLOOKUP(Mass_Data[[#This Row],[axle group 2]]&amp;Mass_Data[[#This Row],[Mass Scheme]],Axle_Data[Axle Code]&amp;Axle_Data[Mass Scheme],Axle_Data[MDL Maximum Mass (t)],"",0)</f>
        <v>9</v>
      </c>
      <c r="U147" cm="1">
        <f t="array" ref="U147">_xlfn.XLOOKUP(Mass_Data[[#This Row],[axle group 3]]&amp;Mass_Data[[#This Row],[Mass Scheme]],Axle_Data[Axle Code]&amp;Axle_Data[Mass Scheme],Axle_Data[MDL Maximum Mass (t)],"",0)</f>
        <v>9</v>
      </c>
      <c r="V147" cm="1">
        <f t="array" ref="V147">_xlfn.XLOOKUP(Mass_Data[[#This Row],[axle group 4]]&amp;Mass_Data[[#This Row],[Mass Scheme]],Axle_Data[Axle Code]&amp;Axle_Data[Mass Scheme],Axle_Data[MDL Maximum Mass (t)],"",0)</f>
        <v>9</v>
      </c>
      <c r="W147" t="str" cm="1">
        <f t="array" ref="W147">_xlfn.XLOOKUP(Mass_Data[[#This Row],[axle group 5]]&amp;Mass_Data[[#This Row],[Mass Scheme]],Axle_Data[Axle Code]&amp;Axle_Data[Mass Scheme],Axle_Data[MDL Maximum Mass (t)],"",0)</f>
        <v/>
      </c>
      <c r="X147" t="str" cm="1">
        <f t="array" ref="X147">_xlfn.XLOOKUP(Mass_Data[[#This Row],[axle group 6]]&amp;Mass_Data[[#This Row],[Mass Scheme]],Axle_Data[Axle Code]&amp;Axle_Data[Mass Scheme],Axle_Data[MDL Maximum Mass (t)],"",0)</f>
        <v/>
      </c>
      <c r="Y147" t="str" cm="1">
        <f t="array" ref="Y147">_xlfn.XLOOKUP(Mass_Data[[#This Row],[axle group 7]]&amp;Mass_Data[[#This Row],[Mass Scheme]],Axle_Data[Axle Code]&amp;Axle_Data[Mass Scheme],Axle_Data[MDL Maximum Mass (t)],"",0)</f>
        <v/>
      </c>
      <c r="Z147" s="81">
        <f>SUM(Mass_Data[[#This Row],[MDL axle group 1 mass]:[MDL axle group 7 mass]])</f>
        <v>33.5</v>
      </c>
      <c r="AA147">
        <f>Mass_Data[[#This Row],[Total (1)]]-Mass_Data[[#This Row],[GCM (t)]]</f>
        <v>3.5</v>
      </c>
      <c r="AB147" t="str">
        <f>IF(Mass_Data[[#This Row],[Difference between MDL and GCM]]=0,"YES","NO")</f>
        <v>NO</v>
      </c>
      <c r="AC147" s="22">
        <f>IFERROR(IF(Mass_Data[[#This Row],[Check (1)]]="YES",Mass_Data[[#This Row],[MDL axle group 1 mass]],Mass_Data[[#This Row],[MDL axle group 1 mass]]-(Mass_Data[[#This Row],[Difference between MDL and GCM]]*(Mass_Data[[#This Row],[MDL axle group 1 mass]]/Mass_Data[[#This Row],[Total (1)]]))),"")</f>
        <v>5.8208955223880601</v>
      </c>
      <c r="AD147" s="22">
        <f>IFERROR(IF(Mass_Data[[#This Row],[Check (1)]]="YES",Mass_Data[[#This Row],[MDL axle group 2 mass]],Mass_Data[[#This Row],[MDL axle group 2 mass]]-(Mass_Data[[#This Row],[Difference between MDL and GCM]]*(Mass_Data[[#This Row],[MDL axle group 2 mass]]/Mass_Data[[#This Row],[Total (1)]]))),"")</f>
        <v>8.0597014925373127</v>
      </c>
      <c r="AE147" s="22">
        <f>IFERROR(IF(Mass_Data[[#This Row],[Check (1)]]="YES",Mass_Data[[#This Row],[MDL axle group 3 mass]],Mass_Data[[#This Row],[MDL axle group 3 mass]]-(Mass_Data[[#This Row],[Difference between MDL and GCM]]*(Mass_Data[[#This Row],[MDL axle group 3 mass]]/Mass_Data[[#This Row],[Total (1)]]))),"")</f>
        <v>8.0597014925373127</v>
      </c>
      <c r="AF147" s="22">
        <f>IFERROR(IF(Mass_Data[[#This Row],[Check (1)]]="YES",Mass_Data[[#This Row],[MDL axle group 4 mass]],Mass_Data[[#This Row],[MDL axle group 4 mass]]-(Mass_Data[[#This Row],[Difference between MDL and GCM]]*(Mass_Data[[#This Row],[MDL axle group 4 mass]]/Mass_Data[[#This Row],[Total (1)]]))),"")</f>
        <v>8.0597014925373127</v>
      </c>
      <c r="AG147" s="22" t="str">
        <f>IFERROR(IF(Mass_Data[[#This Row],[Check (1)]]="YES",Mass_Data[[#This Row],[MDL axle group 5 mass]],Mass_Data[[#This Row],[MDL axle group 5 mass]]-(Mass_Data[[#This Row],[Difference between MDL and GCM]]*(Mass_Data[[#This Row],[MDL axle group 5 mass]]/Mass_Data[[#This Row],[Total (1)]]))),"")</f>
        <v/>
      </c>
      <c r="AH147" s="22" t="str">
        <f>IFERROR(IF(Mass_Data[[#This Row],[Check (1)]]="YES",Mass_Data[[#This Row],[MDL axle group 6 mass]],Mass_Data[[#This Row],[MDL axle group 6 mass]]-(Mass_Data[[#This Row],[Difference between MDL and GCM]]*(Mass_Data[[#This Row],[MDL axle group 6 mass]]/Mass_Data[[#This Row],[Total (1)]]))),"")</f>
        <v/>
      </c>
      <c r="AI147" s="22" t="str">
        <f>IFERROR(IF(Mass_Data[[#This Row],[Check (1)]]="YES",Mass_Data[[#This Row],[MDL axle group 7 mass]],Mass_Data[[#This Row],[MDL axle group 7 mass]]-(Mass_Data[[#This Row],[Difference between MDL and GCM]]*(Mass_Data[[#This Row],[MDL axle group 7 mass]]/Mass_Data[[#This Row],[Total (1)]]))),"")</f>
        <v/>
      </c>
      <c r="AJ147" s="81">
        <f>SUM(Mass_Data[[#This Row],[Corrected axle group 1 mass]:[Corrected axle group 7 mass]])</f>
        <v>30</v>
      </c>
      <c r="AK147">
        <f>Mass_Data[[#This Row],[Total (2)]]-Mass_Data[[#This Row],[GCM (t)]]</f>
        <v>0</v>
      </c>
      <c r="AL147" s="22" t="str">
        <f>IF(Mass_Data[[#This Row],[Difference between MDL and corrected axle masses]]=0,"YES","NO")</f>
        <v>YES</v>
      </c>
    </row>
    <row r="148" spans="3:38" x14ac:dyDescent="0.35">
      <c r="C148" s="10" t="str">
        <f t="shared" si="2"/>
        <v>Conventional - 2-Axle Truck and 2-Axle Pig Trailer (GML)</v>
      </c>
      <c r="D148" s="10" t="s">
        <v>198</v>
      </c>
      <c r="E148" s="10" t="s">
        <v>220</v>
      </c>
      <c r="F148" s="11" t="s">
        <v>18</v>
      </c>
      <c r="G148" s="11" t="s">
        <v>202</v>
      </c>
      <c r="H148" t="s">
        <v>136</v>
      </c>
      <c r="I148" s="9">
        <v>30</v>
      </c>
      <c r="J148" s="14">
        <v>18.181146572104019</v>
      </c>
      <c r="K148" s="14">
        <f>Mass_Data[[#This Row],[GCM (t)]]-Mass_Data[[#This Row],[Payload (t)]]</f>
        <v>11.818853427895981</v>
      </c>
      <c r="L148" t="s">
        <v>8</v>
      </c>
      <c r="M148" t="s">
        <v>24</v>
      </c>
      <c r="N148" t="s">
        <v>44</v>
      </c>
      <c r="O148">
        <v>0</v>
      </c>
      <c r="P148">
        <v>0</v>
      </c>
      <c r="Q148">
        <v>0</v>
      </c>
      <c r="R148">
        <v>0</v>
      </c>
      <c r="S148" cm="1">
        <f t="array" ref="S148">_xlfn.XLOOKUP(Mass_Data[[#This Row],[axle group 1]]&amp;Mass_Data[[#This Row],[Mass Scheme]],Axle_Data[Axle Code]&amp;Axle_Data[Mass Scheme],Axle_Data[MDL Maximum Mass (t)],"",0)</f>
        <v>6.5</v>
      </c>
      <c r="T148" cm="1">
        <f t="array" ref="T148">_xlfn.XLOOKUP(Mass_Data[[#This Row],[axle group 2]]&amp;Mass_Data[[#This Row],[Mass Scheme]],Axle_Data[Axle Code]&amp;Axle_Data[Mass Scheme],Axle_Data[MDL Maximum Mass (t)],"",0)</f>
        <v>9</v>
      </c>
      <c r="U148" cm="1">
        <f t="array" ref="U148">_xlfn.XLOOKUP(Mass_Data[[#This Row],[axle group 3]]&amp;Mass_Data[[#This Row],[Mass Scheme]],Axle_Data[Axle Code]&amp;Axle_Data[Mass Scheme],Axle_Data[MDL Maximum Mass (t)],"",0)</f>
        <v>15</v>
      </c>
      <c r="V148" t="str" cm="1">
        <f t="array" ref="V148">_xlfn.XLOOKUP(Mass_Data[[#This Row],[axle group 4]]&amp;Mass_Data[[#This Row],[Mass Scheme]],Axle_Data[Axle Code]&amp;Axle_Data[Mass Scheme],Axle_Data[MDL Maximum Mass (t)],"",0)</f>
        <v/>
      </c>
      <c r="W148" t="str" cm="1">
        <f t="array" ref="W148">_xlfn.XLOOKUP(Mass_Data[[#This Row],[axle group 5]]&amp;Mass_Data[[#This Row],[Mass Scheme]],Axle_Data[Axle Code]&amp;Axle_Data[Mass Scheme],Axle_Data[MDL Maximum Mass (t)],"",0)</f>
        <v/>
      </c>
      <c r="X148" t="str" cm="1">
        <f t="array" ref="X148">_xlfn.XLOOKUP(Mass_Data[[#This Row],[axle group 6]]&amp;Mass_Data[[#This Row],[Mass Scheme]],Axle_Data[Axle Code]&amp;Axle_Data[Mass Scheme],Axle_Data[MDL Maximum Mass (t)],"",0)</f>
        <v/>
      </c>
      <c r="Y148" t="str" cm="1">
        <f t="array" ref="Y148">_xlfn.XLOOKUP(Mass_Data[[#This Row],[axle group 7]]&amp;Mass_Data[[#This Row],[Mass Scheme]],Axle_Data[Axle Code]&amp;Axle_Data[Mass Scheme],Axle_Data[MDL Maximum Mass (t)],"",0)</f>
        <v/>
      </c>
      <c r="Z148" s="81">
        <f>SUM(Mass_Data[[#This Row],[MDL axle group 1 mass]:[MDL axle group 7 mass]])</f>
        <v>30.5</v>
      </c>
      <c r="AA148">
        <f>Mass_Data[[#This Row],[Total (1)]]-Mass_Data[[#This Row],[GCM (t)]]</f>
        <v>0.5</v>
      </c>
      <c r="AB148" t="str">
        <f>IF(Mass_Data[[#This Row],[Difference between MDL and GCM]]=0,"YES","NO")</f>
        <v>NO</v>
      </c>
      <c r="AC148" s="22">
        <f>IFERROR(IF(Mass_Data[[#This Row],[Check (1)]]="YES",Mass_Data[[#This Row],[MDL axle group 1 mass]],Mass_Data[[#This Row],[MDL axle group 1 mass]]-(Mass_Data[[#This Row],[Difference between MDL and GCM]]*(Mass_Data[[#This Row],[MDL axle group 1 mass]]/Mass_Data[[#This Row],[Total (1)]]))),"")</f>
        <v>6.3934426229508201</v>
      </c>
      <c r="AD148" s="22">
        <f>IFERROR(IF(Mass_Data[[#This Row],[Check (1)]]="YES",Mass_Data[[#This Row],[MDL axle group 2 mass]],Mass_Data[[#This Row],[MDL axle group 2 mass]]-(Mass_Data[[#This Row],[Difference between MDL and GCM]]*(Mass_Data[[#This Row],[MDL axle group 2 mass]]/Mass_Data[[#This Row],[Total (1)]]))),"")</f>
        <v>8.8524590163934427</v>
      </c>
      <c r="AE148" s="22">
        <f>IFERROR(IF(Mass_Data[[#This Row],[Check (1)]]="YES",Mass_Data[[#This Row],[MDL axle group 3 mass]],Mass_Data[[#This Row],[MDL axle group 3 mass]]-(Mass_Data[[#This Row],[Difference between MDL and GCM]]*(Mass_Data[[#This Row],[MDL axle group 3 mass]]/Mass_Data[[#This Row],[Total (1)]]))),"")</f>
        <v>14.754098360655737</v>
      </c>
      <c r="AF148" s="22" t="str">
        <f>IFERROR(IF(Mass_Data[[#This Row],[Check (1)]]="YES",Mass_Data[[#This Row],[MDL axle group 4 mass]],Mass_Data[[#This Row],[MDL axle group 4 mass]]-(Mass_Data[[#This Row],[Difference between MDL and GCM]]*(Mass_Data[[#This Row],[MDL axle group 4 mass]]/Mass_Data[[#This Row],[Total (1)]]))),"")</f>
        <v/>
      </c>
      <c r="AG148" s="22" t="str">
        <f>IFERROR(IF(Mass_Data[[#This Row],[Check (1)]]="YES",Mass_Data[[#This Row],[MDL axle group 5 mass]],Mass_Data[[#This Row],[MDL axle group 5 mass]]-(Mass_Data[[#This Row],[Difference between MDL and GCM]]*(Mass_Data[[#This Row],[MDL axle group 5 mass]]/Mass_Data[[#This Row],[Total (1)]]))),"")</f>
        <v/>
      </c>
      <c r="AH148" s="22" t="str">
        <f>IFERROR(IF(Mass_Data[[#This Row],[Check (1)]]="YES",Mass_Data[[#This Row],[MDL axle group 6 mass]],Mass_Data[[#This Row],[MDL axle group 6 mass]]-(Mass_Data[[#This Row],[Difference between MDL and GCM]]*(Mass_Data[[#This Row],[MDL axle group 6 mass]]/Mass_Data[[#This Row],[Total (1)]]))),"")</f>
        <v/>
      </c>
      <c r="AI148" s="22" t="str">
        <f>IFERROR(IF(Mass_Data[[#This Row],[Check (1)]]="YES",Mass_Data[[#This Row],[MDL axle group 7 mass]],Mass_Data[[#This Row],[MDL axle group 7 mass]]-(Mass_Data[[#This Row],[Difference between MDL and GCM]]*(Mass_Data[[#This Row],[MDL axle group 7 mass]]/Mass_Data[[#This Row],[Total (1)]]))),"")</f>
        <v/>
      </c>
      <c r="AJ148" s="81">
        <f>SUM(Mass_Data[[#This Row],[Corrected axle group 1 mass]:[Corrected axle group 7 mass]])</f>
        <v>30</v>
      </c>
      <c r="AK148">
        <f>Mass_Data[[#This Row],[Total (2)]]-Mass_Data[[#This Row],[GCM (t)]]</f>
        <v>0</v>
      </c>
      <c r="AL148" s="22" t="str">
        <f>IF(Mass_Data[[#This Row],[Difference between MDL and corrected axle masses]]=0,"YES","NO")</f>
        <v>YES</v>
      </c>
    </row>
    <row r="149" spans="3:38" x14ac:dyDescent="0.35">
      <c r="C149" s="10" t="str">
        <f t="shared" si="2"/>
        <v>Conventional - 3-Axle Truck and 2-Axle Dog Trailer (GML)</v>
      </c>
      <c r="D149" s="10" t="s">
        <v>196</v>
      </c>
      <c r="E149" s="10" t="s">
        <v>220</v>
      </c>
      <c r="F149" s="11" t="s">
        <v>18</v>
      </c>
      <c r="G149" s="11" t="s">
        <v>202</v>
      </c>
      <c r="H149" t="s">
        <v>137</v>
      </c>
      <c r="I149" s="9">
        <v>40.5</v>
      </c>
      <c r="J149" s="14">
        <v>26.033350202429151</v>
      </c>
      <c r="K149" s="14">
        <f>Mass_Data[[#This Row],[GCM (t)]]-Mass_Data[[#This Row],[Payload (t)]]</f>
        <v>14.466649797570849</v>
      </c>
      <c r="L149" t="s">
        <v>8</v>
      </c>
      <c r="M149" t="s">
        <v>9</v>
      </c>
      <c r="N149" t="s">
        <v>24</v>
      </c>
      <c r="O149" t="s">
        <v>24</v>
      </c>
      <c r="P149">
        <v>0</v>
      </c>
      <c r="Q149">
        <v>0</v>
      </c>
      <c r="R149">
        <v>0</v>
      </c>
      <c r="S149" cm="1">
        <f t="array" ref="S149">_xlfn.XLOOKUP(Mass_Data[[#This Row],[axle group 1]]&amp;Mass_Data[[#This Row],[Mass Scheme]],Axle_Data[Axle Code]&amp;Axle_Data[Mass Scheme],Axle_Data[MDL Maximum Mass (t)],"",0)</f>
        <v>6.5</v>
      </c>
      <c r="T149" cm="1">
        <f t="array" ref="T149">_xlfn.XLOOKUP(Mass_Data[[#This Row],[axle group 2]]&amp;Mass_Data[[#This Row],[Mass Scheme]],Axle_Data[Axle Code]&amp;Axle_Data[Mass Scheme],Axle_Data[MDL Maximum Mass (t)],"",0)</f>
        <v>16.5</v>
      </c>
      <c r="U149" cm="1">
        <f t="array" ref="U149">_xlfn.XLOOKUP(Mass_Data[[#This Row],[axle group 3]]&amp;Mass_Data[[#This Row],[Mass Scheme]],Axle_Data[Axle Code]&amp;Axle_Data[Mass Scheme],Axle_Data[MDL Maximum Mass (t)],"",0)</f>
        <v>9</v>
      </c>
      <c r="V149" cm="1">
        <f t="array" ref="V149">_xlfn.XLOOKUP(Mass_Data[[#This Row],[axle group 4]]&amp;Mass_Data[[#This Row],[Mass Scheme]],Axle_Data[Axle Code]&amp;Axle_Data[Mass Scheme],Axle_Data[MDL Maximum Mass (t)],"",0)</f>
        <v>9</v>
      </c>
      <c r="W149" t="str" cm="1">
        <f t="array" ref="W149">_xlfn.XLOOKUP(Mass_Data[[#This Row],[axle group 5]]&amp;Mass_Data[[#This Row],[Mass Scheme]],Axle_Data[Axle Code]&amp;Axle_Data[Mass Scheme],Axle_Data[MDL Maximum Mass (t)],"",0)</f>
        <v/>
      </c>
      <c r="X149" t="str" cm="1">
        <f t="array" ref="X149">_xlfn.XLOOKUP(Mass_Data[[#This Row],[axle group 6]]&amp;Mass_Data[[#This Row],[Mass Scheme]],Axle_Data[Axle Code]&amp;Axle_Data[Mass Scheme],Axle_Data[MDL Maximum Mass (t)],"",0)</f>
        <v/>
      </c>
      <c r="Y149" t="str" cm="1">
        <f t="array" ref="Y149">_xlfn.XLOOKUP(Mass_Data[[#This Row],[axle group 7]]&amp;Mass_Data[[#This Row],[Mass Scheme]],Axle_Data[Axle Code]&amp;Axle_Data[Mass Scheme],Axle_Data[MDL Maximum Mass (t)],"",0)</f>
        <v/>
      </c>
      <c r="Z149" s="81">
        <f>SUM(Mass_Data[[#This Row],[MDL axle group 1 mass]:[MDL axle group 7 mass]])</f>
        <v>41</v>
      </c>
      <c r="AA149">
        <f>Mass_Data[[#This Row],[Total (1)]]-Mass_Data[[#This Row],[GCM (t)]]</f>
        <v>0.5</v>
      </c>
      <c r="AB149" t="str">
        <f>IF(Mass_Data[[#This Row],[Difference between MDL and GCM]]=0,"YES","NO")</f>
        <v>NO</v>
      </c>
      <c r="AC149" s="22">
        <f>IFERROR(IF(Mass_Data[[#This Row],[Check (1)]]="YES",Mass_Data[[#This Row],[MDL axle group 1 mass]],Mass_Data[[#This Row],[MDL axle group 1 mass]]-(Mass_Data[[#This Row],[Difference between MDL and GCM]]*(Mass_Data[[#This Row],[MDL axle group 1 mass]]/Mass_Data[[#This Row],[Total (1)]]))),"")</f>
        <v>6.4207317073170733</v>
      </c>
      <c r="AD149" s="22">
        <f>IFERROR(IF(Mass_Data[[#This Row],[Check (1)]]="YES",Mass_Data[[#This Row],[MDL axle group 2 mass]],Mass_Data[[#This Row],[MDL axle group 2 mass]]-(Mass_Data[[#This Row],[Difference between MDL and GCM]]*(Mass_Data[[#This Row],[MDL axle group 2 mass]]/Mass_Data[[#This Row],[Total (1)]]))),"")</f>
        <v>16.298780487804876</v>
      </c>
      <c r="AE149" s="22">
        <f>IFERROR(IF(Mass_Data[[#This Row],[Check (1)]]="YES",Mass_Data[[#This Row],[MDL axle group 3 mass]],Mass_Data[[#This Row],[MDL axle group 3 mass]]-(Mass_Data[[#This Row],[Difference between MDL and GCM]]*(Mass_Data[[#This Row],[MDL axle group 3 mass]]/Mass_Data[[#This Row],[Total (1)]]))),"")</f>
        <v>8.8902439024390247</v>
      </c>
      <c r="AF149" s="22">
        <f>IFERROR(IF(Mass_Data[[#This Row],[Check (1)]]="YES",Mass_Data[[#This Row],[MDL axle group 4 mass]],Mass_Data[[#This Row],[MDL axle group 4 mass]]-(Mass_Data[[#This Row],[Difference between MDL and GCM]]*(Mass_Data[[#This Row],[MDL axle group 4 mass]]/Mass_Data[[#This Row],[Total (1)]]))),"")</f>
        <v>8.8902439024390247</v>
      </c>
      <c r="AG149" s="22" t="str">
        <f>IFERROR(IF(Mass_Data[[#This Row],[Check (1)]]="YES",Mass_Data[[#This Row],[MDL axle group 5 mass]],Mass_Data[[#This Row],[MDL axle group 5 mass]]-(Mass_Data[[#This Row],[Difference between MDL and GCM]]*(Mass_Data[[#This Row],[MDL axle group 5 mass]]/Mass_Data[[#This Row],[Total (1)]]))),"")</f>
        <v/>
      </c>
      <c r="AH149" s="22" t="str">
        <f>IFERROR(IF(Mass_Data[[#This Row],[Check (1)]]="YES",Mass_Data[[#This Row],[MDL axle group 6 mass]],Mass_Data[[#This Row],[MDL axle group 6 mass]]-(Mass_Data[[#This Row],[Difference between MDL and GCM]]*(Mass_Data[[#This Row],[MDL axle group 6 mass]]/Mass_Data[[#This Row],[Total (1)]]))),"")</f>
        <v/>
      </c>
      <c r="AI149" s="22" t="str">
        <f>IFERROR(IF(Mass_Data[[#This Row],[Check (1)]]="YES",Mass_Data[[#This Row],[MDL axle group 7 mass]],Mass_Data[[#This Row],[MDL axle group 7 mass]]-(Mass_Data[[#This Row],[Difference between MDL and GCM]]*(Mass_Data[[#This Row],[MDL axle group 7 mass]]/Mass_Data[[#This Row],[Total (1)]]))),"")</f>
        <v/>
      </c>
      <c r="AJ149" s="81">
        <f>SUM(Mass_Data[[#This Row],[Corrected axle group 1 mass]:[Corrected axle group 7 mass]])</f>
        <v>40.5</v>
      </c>
      <c r="AK149">
        <f>Mass_Data[[#This Row],[Total (2)]]-Mass_Data[[#This Row],[GCM (t)]]</f>
        <v>0</v>
      </c>
      <c r="AL149" s="22" t="str">
        <f>IF(Mass_Data[[#This Row],[Difference between MDL and corrected axle masses]]=0,"YES","NO")</f>
        <v>YES</v>
      </c>
    </row>
    <row r="150" spans="3:38" x14ac:dyDescent="0.35">
      <c r="C150" s="10" t="str">
        <f t="shared" si="2"/>
        <v>Conventional - 3-Axle Truck and 2-Axle Dog Trailer (CML)</v>
      </c>
      <c r="D150" s="10" t="s">
        <v>196</v>
      </c>
      <c r="E150" s="10" t="s">
        <v>220</v>
      </c>
      <c r="F150" s="11" t="s">
        <v>20</v>
      </c>
      <c r="G150" s="11" t="s">
        <v>202</v>
      </c>
      <c r="H150" t="s">
        <v>137</v>
      </c>
      <c r="I150" s="9">
        <v>41</v>
      </c>
      <c r="J150" s="14">
        <v>26.533350202429151</v>
      </c>
      <c r="K150" s="14">
        <f>Mass_Data[[#This Row],[GCM (t)]]-Mass_Data[[#This Row],[Payload (t)]]</f>
        <v>14.466649797570849</v>
      </c>
      <c r="L150" t="s">
        <v>8</v>
      </c>
      <c r="M150" t="s">
        <v>9</v>
      </c>
      <c r="N150" t="s">
        <v>24</v>
      </c>
      <c r="O150" t="s">
        <v>24</v>
      </c>
      <c r="P150">
        <v>0</v>
      </c>
      <c r="Q150">
        <v>0</v>
      </c>
      <c r="R150">
        <v>0</v>
      </c>
      <c r="S150" cm="1">
        <f t="array" ref="S150">_xlfn.XLOOKUP(Mass_Data[[#This Row],[axle group 1]]&amp;Mass_Data[[#This Row],[Mass Scheme]],Axle_Data[Axle Code]&amp;Axle_Data[Mass Scheme],Axle_Data[MDL Maximum Mass (t)],"",0)</f>
        <v>6.5</v>
      </c>
      <c r="T150" cm="1">
        <f t="array" ref="T150">_xlfn.XLOOKUP(Mass_Data[[#This Row],[axle group 2]]&amp;Mass_Data[[#This Row],[Mass Scheme]],Axle_Data[Axle Code]&amp;Axle_Data[Mass Scheme],Axle_Data[MDL Maximum Mass (t)],"",0)</f>
        <v>17</v>
      </c>
      <c r="U150" cm="1">
        <f t="array" ref="U150">_xlfn.XLOOKUP(Mass_Data[[#This Row],[axle group 3]]&amp;Mass_Data[[#This Row],[Mass Scheme]],Axle_Data[Axle Code]&amp;Axle_Data[Mass Scheme],Axle_Data[MDL Maximum Mass (t)],"",0)</f>
        <v>9</v>
      </c>
      <c r="V150" cm="1">
        <f t="array" ref="V150">_xlfn.XLOOKUP(Mass_Data[[#This Row],[axle group 4]]&amp;Mass_Data[[#This Row],[Mass Scheme]],Axle_Data[Axle Code]&amp;Axle_Data[Mass Scheme],Axle_Data[MDL Maximum Mass (t)],"",0)</f>
        <v>9</v>
      </c>
      <c r="W150" t="str" cm="1">
        <f t="array" ref="W150">_xlfn.XLOOKUP(Mass_Data[[#This Row],[axle group 5]]&amp;Mass_Data[[#This Row],[Mass Scheme]],Axle_Data[Axle Code]&amp;Axle_Data[Mass Scheme],Axle_Data[MDL Maximum Mass (t)],"",0)</f>
        <v/>
      </c>
      <c r="X150" t="str" cm="1">
        <f t="array" ref="X150">_xlfn.XLOOKUP(Mass_Data[[#This Row],[axle group 6]]&amp;Mass_Data[[#This Row],[Mass Scheme]],Axle_Data[Axle Code]&amp;Axle_Data[Mass Scheme],Axle_Data[MDL Maximum Mass (t)],"",0)</f>
        <v/>
      </c>
      <c r="Y150" t="str" cm="1">
        <f t="array" ref="Y150">_xlfn.XLOOKUP(Mass_Data[[#This Row],[axle group 7]]&amp;Mass_Data[[#This Row],[Mass Scheme]],Axle_Data[Axle Code]&amp;Axle_Data[Mass Scheme],Axle_Data[MDL Maximum Mass (t)],"",0)</f>
        <v/>
      </c>
      <c r="Z150" s="81">
        <f>SUM(Mass_Data[[#This Row],[MDL axle group 1 mass]:[MDL axle group 7 mass]])</f>
        <v>41.5</v>
      </c>
      <c r="AA150">
        <f>Mass_Data[[#This Row],[Total (1)]]-Mass_Data[[#This Row],[GCM (t)]]</f>
        <v>0.5</v>
      </c>
      <c r="AB150" t="str">
        <f>IF(Mass_Data[[#This Row],[Difference between MDL and GCM]]=0,"YES","NO")</f>
        <v>NO</v>
      </c>
      <c r="AC150" s="22">
        <f>IFERROR(IF(Mass_Data[[#This Row],[Check (1)]]="YES",Mass_Data[[#This Row],[MDL axle group 1 mass]],Mass_Data[[#This Row],[MDL axle group 1 mass]]-(Mass_Data[[#This Row],[Difference between MDL and GCM]]*(Mass_Data[[#This Row],[MDL axle group 1 mass]]/Mass_Data[[#This Row],[Total (1)]]))),"")</f>
        <v>6.4216867469879517</v>
      </c>
      <c r="AD150" s="22">
        <f>IFERROR(IF(Mass_Data[[#This Row],[Check (1)]]="YES",Mass_Data[[#This Row],[MDL axle group 2 mass]],Mass_Data[[#This Row],[MDL axle group 2 mass]]-(Mass_Data[[#This Row],[Difference between MDL and GCM]]*(Mass_Data[[#This Row],[MDL axle group 2 mass]]/Mass_Data[[#This Row],[Total (1)]]))),"")</f>
        <v>16.795180722891565</v>
      </c>
      <c r="AE150" s="22">
        <f>IFERROR(IF(Mass_Data[[#This Row],[Check (1)]]="YES",Mass_Data[[#This Row],[MDL axle group 3 mass]],Mass_Data[[#This Row],[MDL axle group 3 mass]]-(Mass_Data[[#This Row],[Difference between MDL and GCM]]*(Mass_Data[[#This Row],[MDL axle group 3 mass]]/Mass_Data[[#This Row],[Total (1)]]))),"")</f>
        <v>8.8915662650602414</v>
      </c>
      <c r="AF150" s="22">
        <f>IFERROR(IF(Mass_Data[[#This Row],[Check (1)]]="YES",Mass_Data[[#This Row],[MDL axle group 4 mass]],Mass_Data[[#This Row],[MDL axle group 4 mass]]-(Mass_Data[[#This Row],[Difference between MDL and GCM]]*(Mass_Data[[#This Row],[MDL axle group 4 mass]]/Mass_Data[[#This Row],[Total (1)]]))),"")</f>
        <v>8.8915662650602414</v>
      </c>
      <c r="AG150" s="22" t="str">
        <f>IFERROR(IF(Mass_Data[[#This Row],[Check (1)]]="YES",Mass_Data[[#This Row],[MDL axle group 5 mass]],Mass_Data[[#This Row],[MDL axle group 5 mass]]-(Mass_Data[[#This Row],[Difference between MDL and GCM]]*(Mass_Data[[#This Row],[MDL axle group 5 mass]]/Mass_Data[[#This Row],[Total (1)]]))),"")</f>
        <v/>
      </c>
      <c r="AH150" s="22" t="str">
        <f>IFERROR(IF(Mass_Data[[#This Row],[Check (1)]]="YES",Mass_Data[[#This Row],[MDL axle group 6 mass]],Mass_Data[[#This Row],[MDL axle group 6 mass]]-(Mass_Data[[#This Row],[Difference between MDL and GCM]]*(Mass_Data[[#This Row],[MDL axle group 6 mass]]/Mass_Data[[#This Row],[Total (1)]]))),"")</f>
        <v/>
      </c>
      <c r="AI150" s="22" t="str">
        <f>IFERROR(IF(Mass_Data[[#This Row],[Check (1)]]="YES",Mass_Data[[#This Row],[MDL axle group 7 mass]],Mass_Data[[#This Row],[MDL axle group 7 mass]]-(Mass_Data[[#This Row],[Difference between MDL and GCM]]*(Mass_Data[[#This Row],[MDL axle group 7 mass]]/Mass_Data[[#This Row],[Total (1)]]))),"")</f>
        <v/>
      </c>
      <c r="AJ150" s="81">
        <f>SUM(Mass_Data[[#This Row],[Corrected axle group 1 mass]:[Corrected axle group 7 mass]])</f>
        <v>41</v>
      </c>
      <c r="AK150">
        <f>Mass_Data[[#This Row],[Total (2)]]-Mass_Data[[#This Row],[GCM (t)]]</f>
        <v>0</v>
      </c>
      <c r="AL150" s="22" t="str">
        <f>IF(Mass_Data[[#This Row],[Difference between MDL and corrected axle masses]]=0,"YES","NO")</f>
        <v>YES</v>
      </c>
    </row>
    <row r="151" spans="3:38" x14ac:dyDescent="0.35">
      <c r="C151" s="10" t="str">
        <f t="shared" si="2"/>
        <v>Conventional - 3-Axle Truck and 2-Axle Pig Trailer (GML)</v>
      </c>
      <c r="D151" s="10" t="s">
        <v>194</v>
      </c>
      <c r="E151" s="10" t="s">
        <v>220</v>
      </c>
      <c r="F151" s="11" t="s">
        <v>18</v>
      </c>
      <c r="G151" s="11" t="s">
        <v>202</v>
      </c>
      <c r="H151" t="s">
        <v>130</v>
      </c>
      <c r="I151" s="9">
        <v>37.5</v>
      </c>
      <c r="J151" s="14">
        <v>21.266102339181288</v>
      </c>
      <c r="K151" s="14">
        <f>Mass_Data[[#This Row],[GCM (t)]]-Mass_Data[[#This Row],[Payload (t)]]</f>
        <v>16.233897660818712</v>
      </c>
      <c r="L151" t="s">
        <v>8</v>
      </c>
      <c r="M151" t="s">
        <v>9</v>
      </c>
      <c r="N151" t="s">
        <v>44</v>
      </c>
      <c r="O151">
        <v>0</v>
      </c>
      <c r="P151">
        <v>0</v>
      </c>
      <c r="Q151">
        <v>0</v>
      </c>
      <c r="R151">
        <v>0</v>
      </c>
      <c r="S151" cm="1">
        <f t="array" ref="S151">_xlfn.XLOOKUP(Mass_Data[[#This Row],[axle group 1]]&amp;Mass_Data[[#This Row],[Mass Scheme]],Axle_Data[Axle Code]&amp;Axle_Data[Mass Scheme],Axle_Data[MDL Maximum Mass (t)],"",0)</f>
        <v>6.5</v>
      </c>
      <c r="T151" cm="1">
        <f t="array" ref="T151">_xlfn.XLOOKUP(Mass_Data[[#This Row],[axle group 2]]&amp;Mass_Data[[#This Row],[Mass Scheme]],Axle_Data[Axle Code]&amp;Axle_Data[Mass Scheme],Axle_Data[MDL Maximum Mass (t)],"",0)</f>
        <v>16.5</v>
      </c>
      <c r="U151" cm="1">
        <f t="array" ref="U151">_xlfn.XLOOKUP(Mass_Data[[#This Row],[axle group 3]]&amp;Mass_Data[[#This Row],[Mass Scheme]],Axle_Data[Axle Code]&amp;Axle_Data[Mass Scheme],Axle_Data[MDL Maximum Mass (t)],"",0)</f>
        <v>15</v>
      </c>
      <c r="V151" t="str" cm="1">
        <f t="array" ref="V151">_xlfn.XLOOKUP(Mass_Data[[#This Row],[axle group 4]]&amp;Mass_Data[[#This Row],[Mass Scheme]],Axle_Data[Axle Code]&amp;Axle_Data[Mass Scheme],Axle_Data[MDL Maximum Mass (t)],"",0)</f>
        <v/>
      </c>
      <c r="W151" t="str" cm="1">
        <f t="array" ref="W151">_xlfn.XLOOKUP(Mass_Data[[#This Row],[axle group 5]]&amp;Mass_Data[[#This Row],[Mass Scheme]],Axle_Data[Axle Code]&amp;Axle_Data[Mass Scheme],Axle_Data[MDL Maximum Mass (t)],"",0)</f>
        <v/>
      </c>
      <c r="X151" t="str" cm="1">
        <f t="array" ref="X151">_xlfn.XLOOKUP(Mass_Data[[#This Row],[axle group 6]]&amp;Mass_Data[[#This Row],[Mass Scheme]],Axle_Data[Axle Code]&amp;Axle_Data[Mass Scheme],Axle_Data[MDL Maximum Mass (t)],"",0)</f>
        <v/>
      </c>
      <c r="Y151" t="str" cm="1">
        <f t="array" ref="Y151">_xlfn.XLOOKUP(Mass_Data[[#This Row],[axle group 7]]&amp;Mass_Data[[#This Row],[Mass Scheme]],Axle_Data[Axle Code]&amp;Axle_Data[Mass Scheme],Axle_Data[MDL Maximum Mass (t)],"",0)</f>
        <v/>
      </c>
      <c r="Z151" s="81">
        <f>SUM(Mass_Data[[#This Row],[MDL axle group 1 mass]:[MDL axle group 7 mass]])</f>
        <v>38</v>
      </c>
      <c r="AA151">
        <f>Mass_Data[[#This Row],[Total (1)]]-Mass_Data[[#This Row],[GCM (t)]]</f>
        <v>0.5</v>
      </c>
      <c r="AB151" t="str">
        <f>IF(Mass_Data[[#This Row],[Difference between MDL and GCM]]=0,"YES","NO")</f>
        <v>NO</v>
      </c>
      <c r="AC151" s="22">
        <f>IFERROR(IF(Mass_Data[[#This Row],[Check (1)]]="YES",Mass_Data[[#This Row],[MDL axle group 1 mass]],Mass_Data[[#This Row],[MDL axle group 1 mass]]-(Mass_Data[[#This Row],[Difference between MDL and GCM]]*(Mass_Data[[#This Row],[MDL axle group 1 mass]]/Mass_Data[[#This Row],[Total (1)]]))),"")</f>
        <v>6.4144736842105265</v>
      </c>
      <c r="AD151" s="22">
        <f>IFERROR(IF(Mass_Data[[#This Row],[Check (1)]]="YES",Mass_Data[[#This Row],[MDL axle group 2 mass]],Mass_Data[[#This Row],[MDL axle group 2 mass]]-(Mass_Data[[#This Row],[Difference between MDL and GCM]]*(Mass_Data[[#This Row],[MDL axle group 2 mass]]/Mass_Data[[#This Row],[Total (1)]]))),"")</f>
        <v>16.282894736842106</v>
      </c>
      <c r="AE151" s="22">
        <f>IFERROR(IF(Mass_Data[[#This Row],[Check (1)]]="YES",Mass_Data[[#This Row],[MDL axle group 3 mass]],Mass_Data[[#This Row],[MDL axle group 3 mass]]-(Mass_Data[[#This Row],[Difference between MDL and GCM]]*(Mass_Data[[#This Row],[MDL axle group 3 mass]]/Mass_Data[[#This Row],[Total (1)]]))),"")</f>
        <v>14.802631578947368</v>
      </c>
      <c r="AF151" s="22" t="str">
        <f>IFERROR(IF(Mass_Data[[#This Row],[Check (1)]]="YES",Mass_Data[[#This Row],[MDL axle group 4 mass]],Mass_Data[[#This Row],[MDL axle group 4 mass]]-(Mass_Data[[#This Row],[Difference between MDL and GCM]]*(Mass_Data[[#This Row],[MDL axle group 4 mass]]/Mass_Data[[#This Row],[Total (1)]]))),"")</f>
        <v/>
      </c>
      <c r="AG151" s="22" t="str">
        <f>IFERROR(IF(Mass_Data[[#This Row],[Check (1)]]="YES",Mass_Data[[#This Row],[MDL axle group 5 mass]],Mass_Data[[#This Row],[MDL axle group 5 mass]]-(Mass_Data[[#This Row],[Difference between MDL and GCM]]*(Mass_Data[[#This Row],[MDL axle group 5 mass]]/Mass_Data[[#This Row],[Total (1)]]))),"")</f>
        <v/>
      </c>
      <c r="AH151" s="22" t="str">
        <f>IFERROR(IF(Mass_Data[[#This Row],[Check (1)]]="YES",Mass_Data[[#This Row],[MDL axle group 6 mass]],Mass_Data[[#This Row],[MDL axle group 6 mass]]-(Mass_Data[[#This Row],[Difference between MDL and GCM]]*(Mass_Data[[#This Row],[MDL axle group 6 mass]]/Mass_Data[[#This Row],[Total (1)]]))),"")</f>
        <v/>
      </c>
      <c r="AI151" s="22" t="str">
        <f>IFERROR(IF(Mass_Data[[#This Row],[Check (1)]]="YES",Mass_Data[[#This Row],[MDL axle group 7 mass]],Mass_Data[[#This Row],[MDL axle group 7 mass]]-(Mass_Data[[#This Row],[Difference between MDL and GCM]]*(Mass_Data[[#This Row],[MDL axle group 7 mass]]/Mass_Data[[#This Row],[Total (1)]]))),"")</f>
        <v/>
      </c>
      <c r="AJ151" s="81">
        <f>SUM(Mass_Data[[#This Row],[Corrected axle group 1 mass]:[Corrected axle group 7 mass]])</f>
        <v>37.5</v>
      </c>
      <c r="AK151">
        <f>Mass_Data[[#This Row],[Total (2)]]-Mass_Data[[#This Row],[GCM (t)]]</f>
        <v>0</v>
      </c>
      <c r="AL151" s="22" t="str">
        <f>IF(Mass_Data[[#This Row],[Difference between MDL and corrected axle masses]]=0,"YES","NO")</f>
        <v>YES</v>
      </c>
    </row>
    <row r="152" spans="3:38" x14ac:dyDescent="0.35">
      <c r="C152" s="10" t="str">
        <f t="shared" si="2"/>
        <v>Conventional - 3-Axle Truck and 3-Axle Dog Trailer (GML)</v>
      </c>
      <c r="D152" s="10" t="s">
        <v>192</v>
      </c>
      <c r="E152" s="10" t="s">
        <v>220</v>
      </c>
      <c r="F152" s="11" t="s">
        <v>18</v>
      </c>
      <c r="G152" s="11" t="s">
        <v>202</v>
      </c>
      <c r="H152" t="s">
        <v>56</v>
      </c>
      <c r="I152" s="9">
        <v>42.5</v>
      </c>
      <c r="J152" s="14">
        <v>26.468699455535393</v>
      </c>
      <c r="K152" s="14">
        <f>Mass_Data[[#This Row],[GCM (t)]]-Mass_Data[[#This Row],[Payload (t)]]</f>
        <v>16.031300544464607</v>
      </c>
      <c r="L152" t="s">
        <v>8</v>
      </c>
      <c r="M152" t="s">
        <v>9</v>
      </c>
      <c r="N152" t="s">
        <v>24</v>
      </c>
      <c r="O152" t="s">
        <v>30</v>
      </c>
      <c r="P152">
        <v>0</v>
      </c>
      <c r="Q152">
        <v>0</v>
      </c>
      <c r="R152">
        <v>0</v>
      </c>
      <c r="S152" cm="1">
        <f t="array" ref="S152">_xlfn.XLOOKUP(Mass_Data[[#This Row],[axle group 1]]&amp;Mass_Data[[#This Row],[Mass Scheme]],Axle_Data[Axle Code]&amp;Axle_Data[Mass Scheme],Axle_Data[MDL Maximum Mass (t)],"",0)</f>
        <v>6.5</v>
      </c>
      <c r="T152" cm="1">
        <f t="array" ref="T152">_xlfn.XLOOKUP(Mass_Data[[#This Row],[axle group 2]]&amp;Mass_Data[[#This Row],[Mass Scheme]],Axle_Data[Axle Code]&amp;Axle_Data[Mass Scheme],Axle_Data[MDL Maximum Mass (t)],"",0)</f>
        <v>16.5</v>
      </c>
      <c r="U152" cm="1">
        <f t="array" ref="U152">_xlfn.XLOOKUP(Mass_Data[[#This Row],[axle group 3]]&amp;Mass_Data[[#This Row],[Mass Scheme]],Axle_Data[Axle Code]&amp;Axle_Data[Mass Scheme],Axle_Data[MDL Maximum Mass (t)],"",0)</f>
        <v>9</v>
      </c>
      <c r="V152" cm="1">
        <f t="array" ref="V152">_xlfn.XLOOKUP(Mass_Data[[#This Row],[axle group 4]]&amp;Mass_Data[[#This Row],[Mass Scheme]],Axle_Data[Axle Code]&amp;Axle_Data[Mass Scheme],Axle_Data[MDL Maximum Mass (t)],"",0)</f>
        <v>16.5</v>
      </c>
      <c r="W152" t="str" cm="1">
        <f t="array" ref="W152">_xlfn.XLOOKUP(Mass_Data[[#This Row],[axle group 5]]&amp;Mass_Data[[#This Row],[Mass Scheme]],Axle_Data[Axle Code]&amp;Axle_Data[Mass Scheme],Axle_Data[MDL Maximum Mass (t)],"",0)</f>
        <v/>
      </c>
      <c r="X152" t="str" cm="1">
        <f t="array" ref="X152">_xlfn.XLOOKUP(Mass_Data[[#This Row],[axle group 6]]&amp;Mass_Data[[#This Row],[Mass Scheme]],Axle_Data[Axle Code]&amp;Axle_Data[Mass Scheme],Axle_Data[MDL Maximum Mass (t)],"",0)</f>
        <v/>
      </c>
      <c r="Y152" t="str" cm="1">
        <f t="array" ref="Y152">_xlfn.XLOOKUP(Mass_Data[[#This Row],[axle group 7]]&amp;Mass_Data[[#This Row],[Mass Scheme]],Axle_Data[Axle Code]&amp;Axle_Data[Mass Scheme],Axle_Data[MDL Maximum Mass (t)],"",0)</f>
        <v/>
      </c>
      <c r="Z152" s="81">
        <f>SUM(Mass_Data[[#This Row],[MDL axle group 1 mass]:[MDL axle group 7 mass]])</f>
        <v>48.5</v>
      </c>
      <c r="AA152">
        <f>Mass_Data[[#This Row],[Total (1)]]-Mass_Data[[#This Row],[GCM (t)]]</f>
        <v>6</v>
      </c>
      <c r="AB152" t="str">
        <f>IF(Mass_Data[[#This Row],[Difference between MDL and GCM]]=0,"YES","NO")</f>
        <v>NO</v>
      </c>
      <c r="AC152" s="22">
        <f>IFERROR(IF(Mass_Data[[#This Row],[Check (1)]]="YES",Mass_Data[[#This Row],[MDL axle group 1 mass]],Mass_Data[[#This Row],[MDL axle group 1 mass]]-(Mass_Data[[#This Row],[Difference between MDL and GCM]]*(Mass_Data[[#This Row],[MDL axle group 1 mass]]/Mass_Data[[#This Row],[Total (1)]]))),"")</f>
        <v>5.695876288659794</v>
      </c>
      <c r="AD152" s="22">
        <f>IFERROR(IF(Mass_Data[[#This Row],[Check (1)]]="YES",Mass_Data[[#This Row],[MDL axle group 2 mass]],Mass_Data[[#This Row],[MDL axle group 2 mass]]-(Mass_Data[[#This Row],[Difference between MDL and GCM]]*(Mass_Data[[#This Row],[MDL axle group 2 mass]]/Mass_Data[[#This Row],[Total (1)]]))),"")</f>
        <v>14.458762886597938</v>
      </c>
      <c r="AE152" s="22">
        <f>IFERROR(IF(Mass_Data[[#This Row],[Check (1)]]="YES",Mass_Data[[#This Row],[MDL axle group 3 mass]],Mass_Data[[#This Row],[MDL axle group 3 mass]]-(Mass_Data[[#This Row],[Difference between MDL and GCM]]*(Mass_Data[[#This Row],[MDL axle group 3 mass]]/Mass_Data[[#This Row],[Total (1)]]))),"")</f>
        <v>7.8865979381443303</v>
      </c>
      <c r="AF152" s="22">
        <f>IFERROR(IF(Mass_Data[[#This Row],[Check (1)]]="YES",Mass_Data[[#This Row],[MDL axle group 4 mass]],Mass_Data[[#This Row],[MDL axle group 4 mass]]-(Mass_Data[[#This Row],[Difference between MDL and GCM]]*(Mass_Data[[#This Row],[MDL axle group 4 mass]]/Mass_Data[[#This Row],[Total (1)]]))),"")</f>
        <v>14.458762886597938</v>
      </c>
      <c r="AG152" s="22" t="str">
        <f>IFERROR(IF(Mass_Data[[#This Row],[Check (1)]]="YES",Mass_Data[[#This Row],[MDL axle group 5 mass]],Mass_Data[[#This Row],[MDL axle group 5 mass]]-(Mass_Data[[#This Row],[Difference between MDL and GCM]]*(Mass_Data[[#This Row],[MDL axle group 5 mass]]/Mass_Data[[#This Row],[Total (1)]]))),"")</f>
        <v/>
      </c>
      <c r="AH152" s="22" t="str">
        <f>IFERROR(IF(Mass_Data[[#This Row],[Check (1)]]="YES",Mass_Data[[#This Row],[MDL axle group 6 mass]],Mass_Data[[#This Row],[MDL axle group 6 mass]]-(Mass_Data[[#This Row],[Difference between MDL and GCM]]*(Mass_Data[[#This Row],[MDL axle group 6 mass]]/Mass_Data[[#This Row],[Total (1)]]))),"")</f>
        <v/>
      </c>
      <c r="AI152" s="22" t="str">
        <f>IFERROR(IF(Mass_Data[[#This Row],[Check (1)]]="YES",Mass_Data[[#This Row],[MDL axle group 7 mass]],Mass_Data[[#This Row],[MDL axle group 7 mass]]-(Mass_Data[[#This Row],[Difference between MDL and GCM]]*(Mass_Data[[#This Row],[MDL axle group 7 mass]]/Mass_Data[[#This Row],[Total (1)]]))),"")</f>
        <v/>
      </c>
      <c r="AJ152" s="81">
        <f>SUM(Mass_Data[[#This Row],[Corrected axle group 1 mass]:[Corrected axle group 7 mass]])</f>
        <v>42.5</v>
      </c>
      <c r="AK152">
        <f>Mass_Data[[#This Row],[Total (2)]]-Mass_Data[[#This Row],[GCM (t)]]</f>
        <v>0</v>
      </c>
      <c r="AL152" s="22" t="str">
        <f>IF(Mass_Data[[#This Row],[Difference between MDL and corrected axle masses]]=0,"YES","NO")</f>
        <v>YES</v>
      </c>
    </row>
    <row r="153" spans="3:38" x14ac:dyDescent="0.35">
      <c r="C153" s="10" t="str">
        <f t="shared" si="2"/>
        <v>Conventional - 3-Axle Truck and 3-Axle Dog Trailer (CML)</v>
      </c>
      <c r="D153" s="10" t="s">
        <v>192</v>
      </c>
      <c r="E153" s="10" t="s">
        <v>220</v>
      </c>
      <c r="F153" s="11" t="s">
        <v>20</v>
      </c>
      <c r="G153" s="11" t="s">
        <v>202</v>
      </c>
      <c r="H153" t="s">
        <v>56</v>
      </c>
      <c r="I153" s="9">
        <v>43.5</v>
      </c>
      <c r="J153" s="14">
        <v>27.468699455535393</v>
      </c>
      <c r="K153" s="14">
        <f>Mass_Data[[#This Row],[GCM (t)]]-Mass_Data[[#This Row],[Payload (t)]]</f>
        <v>16.031300544464607</v>
      </c>
      <c r="L153" t="s">
        <v>8</v>
      </c>
      <c r="M153" t="s">
        <v>9</v>
      </c>
      <c r="N153" t="s">
        <v>24</v>
      </c>
      <c r="O153" t="s">
        <v>30</v>
      </c>
      <c r="P153">
        <v>0</v>
      </c>
      <c r="Q153">
        <v>0</v>
      </c>
      <c r="R153">
        <v>0</v>
      </c>
      <c r="S153" cm="1">
        <f t="array" ref="S153">_xlfn.XLOOKUP(Mass_Data[[#This Row],[axle group 1]]&amp;Mass_Data[[#This Row],[Mass Scheme]],Axle_Data[Axle Code]&amp;Axle_Data[Mass Scheme],Axle_Data[MDL Maximum Mass (t)],"",0)</f>
        <v>6.5</v>
      </c>
      <c r="T153" cm="1">
        <f t="array" ref="T153">_xlfn.XLOOKUP(Mass_Data[[#This Row],[axle group 2]]&amp;Mass_Data[[#This Row],[Mass Scheme]],Axle_Data[Axle Code]&amp;Axle_Data[Mass Scheme],Axle_Data[MDL Maximum Mass (t)],"",0)</f>
        <v>17</v>
      </c>
      <c r="U153" cm="1">
        <f t="array" ref="U153">_xlfn.XLOOKUP(Mass_Data[[#This Row],[axle group 3]]&amp;Mass_Data[[#This Row],[Mass Scheme]],Axle_Data[Axle Code]&amp;Axle_Data[Mass Scheme],Axle_Data[MDL Maximum Mass (t)],"",0)</f>
        <v>9</v>
      </c>
      <c r="V153" cm="1">
        <f t="array" ref="V153">_xlfn.XLOOKUP(Mass_Data[[#This Row],[axle group 4]]&amp;Mass_Data[[#This Row],[Mass Scheme]],Axle_Data[Axle Code]&amp;Axle_Data[Mass Scheme],Axle_Data[MDL Maximum Mass (t)],"",0)</f>
        <v>17</v>
      </c>
      <c r="W153" t="str" cm="1">
        <f t="array" ref="W153">_xlfn.XLOOKUP(Mass_Data[[#This Row],[axle group 5]]&amp;Mass_Data[[#This Row],[Mass Scheme]],Axle_Data[Axle Code]&amp;Axle_Data[Mass Scheme],Axle_Data[MDL Maximum Mass (t)],"",0)</f>
        <v/>
      </c>
      <c r="X153" t="str" cm="1">
        <f t="array" ref="X153">_xlfn.XLOOKUP(Mass_Data[[#This Row],[axle group 6]]&amp;Mass_Data[[#This Row],[Mass Scheme]],Axle_Data[Axle Code]&amp;Axle_Data[Mass Scheme],Axle_Data[MDL Maximum Mass (t)],"",0)</f>
        <v/>
      </c>
      <c r="Y153" t="str" cm="1">
        <f t="array" ref="Y153">_xlfn.XLOOKUP(Mass_Data[[#This Row],[axle group 7]]&amp;Mass_Data[[#This Row],[Mass Scheme]],Axle_Data[Axle Code]&amp;Axle_Data[Mass Scheme],Axle_Data[MDL Maximum Mass (t)],"",0)</f>
        <v/>
      </c>
      <c r="Z153" s="81">
        <f>SUM(Mass_Data[[#This Row],[MDL axle group 1 mass]:[MDL axle group 7 mass]])</f>
        <v>49.5</v>
      </c>
      <c r="AA153">
        <f>Mass_Data[[#This Row],[Total (1)]]-Mass_Data[[#This Row],[GCM (t)]]</f>
        <v>6</v>
      </c>
      <c r="AB153" t="str">
        <f>IF(Mass_Data[[#This Row],[Difference between MDL and GCM]]=0,"YES","NO")</f>
        <v>NO</v>
      </c>
      <c r="AC153" s="22">
        <f>IFERROR(IF(Mass_Data[[#This Row],[Check (1)]]="YES",Mass_Data[[#This Row],[MDL axle group 1 mass]],Mass_Data[[#This Row],[MDL axle group 1 mass]]-(Mass_Data[[#This Row],[Difference between MDL and GCM]]*(Mass_Data[[#This Row],[MDL axle group 1 mass]]/Mass_Data[[#This Row],[Total (1)]]))),"")</f>
        <v>5.7121212121212119</v>
      </c>
      <c r="AD153" s="22">
        <f>IFERROR(IF(Mass_Data[[#This Row],[Check (1)]]="YES",Mass_Data[[#This Row],[MDL axle group 2 mass]],Mass_Data[[#This Row],[MDL axle group 2 mass]]-(Mass_Data[[#This Row],[Difference between MDL and GCM]]*(Mass_Data[[#This Row],[MDL axle group 2 mass]]/Mass_Data[[#This Row],[Total (1)]]))),"")</f>
        <v>14.939393939393939</v>
      </c>
      <c r="AE153" s="22">
        <f>IFERROR(IF(Mass_Data[[#This Row],[Check (1)]]="YES",Mass_Data[[#This Row],[MDL axle group 3 mass]],Mass_Data[[#This Row],[MDL axle group 3 mass]]-(Mass_Data[[#This Row],[Difference between MDL and GCM]]*(Mass_Data[[#This Row],[MDL axle group 3 mass]]/Mass_Data[[#This Row],[Total (1)]]))),"")</f>
        <v>7.9090909090909092</v>
      </c>
      <c r="AF153" s="22">
        <f>IFERROR(IF(Mass_Data[[#This Row],[Check (1)]]="YES",Mass_Data[[#This Row],[MDL axle group 4 mass]],Mass_Data[[#This Row],[MDL axle group 4 mass]]-(Mass_Data[[#This Row],[Difference between MDL and GCM]]*(Mass_Data[[#This Row],[MDL axle group 4 mass]]/Mass_Data[[#This Row],[Total (1)]]))),"")</f>
        <v>14.939393939393939</v>
      </c>
      <c r="AG153" s="22" t="str">
        <f>IFERROR(IF(Mass_Data[[#This Row],[Check (1)]]="YES",Mass_Data[[#This Row],[MDL axle group 5 mass]],Mass_Data[[#This Row],[MDL axle group 5 mass]]-(Mass_Data[[#This Row],[Difference between MDL and GCM]]*(Mass_Data[[#This Row],[MDL axle group 5 mass]]/Mass_Data[[#This Row],[Total (1)]]))),"")</f>
        <v/>
      </c>
      <c r="AH153" s="22" t="str">
        <f>IFERROR(IF(Mass_Data[[#This Row],[Check (1)]]="YES",Mass_Data[[#This Row],[MDL axle group 6 mass]],Mass_Data[[#This Row],[MDL axle group 6 mass]]-(Mass_Data[[#This Row],[Difference between MDL and GCM]]*(Mass_Data[[#This Row],[MDL axle group 6 mass]]/Mass_Data[[#This Row],[Total (1)]]))),"")</f>
        <v/>
      </c>
      <c r="AI153" s="22" t="str">
        <f>IFERROR(IF(Mass_Data[[#This Row],[Check (1)]]="YES",Mass_Data[[#This Row],[MDL axle group 7 mass]],Mass_Data[[#This Row],[MDL axle group 7 mass]]-(Mass_Data[[#This Row],[Difference between MDL and GCM]]*(Mass_Data[[#This Row],[MDL axle group 7 mass]]/Mass_Data[[#This Row],[Total (1)]]))),"")</f>
        <v/>
      </c>
      <c r="AJ153" s="81">
        <f>SUM(Mass_Data[[#This Row],[Corrected axle group 1 mass]:[Corrected axle group 7 mass]])</f>
        <v>43.5</v>
      </c>
      <c r="AK153">
        <f>Mass_Data[[#This Row],[Total (2)]]-Mass_Data[[#This Row],[GCM (t)]]</f>
        <v>0</v>
      </c>
      <c r="AL153" s="22" t="str">
        <f>IF(Mass_Data[[#This Row],[Difference between MDL and corrected axle masses]]=0,"YES","NO")</f>
        <v>YES</v>
      </c>
    </row>
    <row r="154" spans="3:38" x14ac:dyDescent="0.35">
      <c r="C154" s="10" t="str">
        <f t="shared" si="2"/>
        <v>Conventional - 3-Axle Truck and 3-Axle Pig Trailer (GML)</v>
      </c>
      <c r="D154" s="10" t="s">
        <v>190</v>
      </c>
      <c r="E154" s="10" t="s">
        <v>220</v>
      </c>
      <c r="F154" s="11" t="s">
        <v>18</v>
      </c>
      <c r="G154" s="11" t="s">
        <v>202</v>
      </c>
      <c r="H154" t="s">
        <v>138</v>
      </c>
      <c r="I154" s="9">
        <v>40.5</v>
      </c>
      <c r="J154" s="14">
        <v>22.9637969924812</v>
      </c>
      <c r="K154" s="14">
        <f>Mass_Data[[#This Row],[GCM (t)]]-Mass_Data[[#This Row],[Payload (t)]]</f>
        <v>17.5362030075188</v>
      </c>
      <c r="L154" t="s">
        <v>8</v>
      </c>
      <c r="M154" t="s">
        <v>9</v>
      </c>
      <c r="N154" t="s">
        <v>46</v>
      </c>
      <c r="O154">
        <v>0</v>
      </c>
      <c r="P154">
        <v>0</v>
      </c>
      <c r="Q154">
        <v>0</v>
      </c>
      <c r="R154">
        <v>0</v>
      </c>
      <c r="S154" cm="1">
        <f t="array" ref="S154">_xlfn.XLOOKUP(Mass_Data[[#This Row],[axle group 1]]&amp;Mass_Data[[#This Row],[Mass Scheme]],Axle_Data[Axle Code]&amp;Axle_Data[Mass Scheme],Axle_Data[MDL Maximum Mass (t)],"",0)</f>
        <v>6.5</v>
      </c>
      <c r="T154" cm="1">
        <f t="array" ref="T154">_xlfn.XLOOKUP(Mass_Data[[#This Row],[axle group 2]]&amp;Mass_Data[[#This Row],[Mass Scheme]],Axle_Data[Axle Code]&amp;Axle_Data[Mass Scheme],Axle_Data[MDL Maximum Mass (t)],"",0)</f>
        <v>16.5</v>
      </c>
      <c r="U154" cm="1">
        <f t="array" ref="U154">_xlfn.XLOOKUP(Mass_Data[[#This Row],[axle group 3]]&amp;Mass_Data[[#This Row],[Mass Scheme]],Axle_Data[Axle Code]&amp;Axle_Data[Mass Scheme],Axle_Data[MDL Maximum Mass (t)],"",0)</f>
        <v>18</v>
      </c>
      <c r="V154" t="str" cm="1">
        <f t="array" ref="V154">_xlfn.XLOOKUP(Mass_Data[[#This Row],[axle group 4]]&amp;Mass_Data[[#This Row],[Mass Scheme]],Axle_Data[Axle Code]&amp;Axle_Data[Mass Scheme],Axle_Data[MDL Maximum Mass (t)],"",0)</f>
        <v/>
      </c>
      <c r="W154" t="str" cm="1">
        <f t="array" ref="W154">_xlfn.XLOOKUP(Mass_Data[[#This Row],[axle group 5]]&amp;Mass_Data[[#This Row],[Mass Scheme]],Axle_Data[Axle Code]&amp;Axle_Data[Mass Scheme],Axle_Data[MDL Maximum Mass (t)],"",0)</f>
        <v/>
      </c>
      <c r="X154" t="str" cm="1">
        <f t="array" ref="X154">_xlfn.XLOOKUP(Mass_Data[[#This Row],[axle group 6]]&amp;Mass_Data[[#This Row],[Mass Scheme]],Axle_Data[Axle Code]&amp;Axle_Data[Mass Scheme],Axle_Data[MDL Maximum Mass (t)],"",0)</f>
        <v/>
      </c>
      <c r="Y154" t="str" cm="1">
        <f t="array" ref="Y154">_xlfn.XLOOKUP(Mass_Data[[#This Row],[axle group 7]]&amp;Mass_Data[[#This Row],[Mass Scheme]],Axle_Data[Axle Code]&amp;Axle_Data[Mass Scheme],Axle_Data[MDL Maximum Mass (t)],"",0)</f>
        <v/>
      </c>
      <c r="Z154" s="81">
        <f>SUM(Mass_Data[[#This Row],[MDL axle group 1 mass]:[MDL axle group 7 mass]])</f>
        <v>41</v>
      </c>
      <c r="AA154">
        <f>Mass_Data[[#This Row],[Total (1)]]-Mass_Data[[#This Row],[GCM (t)]]</f>
        <v>0.5</v>
      </c>
      <c r="AB154" t="str">
        <f>IF(Mass_Data[[#This Row],[Difference between MDL and GCM]]=0,"YES","NO")</f>
        <v>NO</v>
      </c>
      <c r="AC154" s="22">
        <f>IFERROR(IF(Mass_Data[[#This Row],[Check (1)]]="YES",Mass_Data[[#This Row],[MDL axle group 1 mass]],Mass_Data[[#This Row],[MDL axle group 1 mass]]-(Mass_Data[[#This Row],[Difference between MDL and GCM]]*(Mass_Data[[#This Row],[MDL axle group 1 mass]]/Mass_Data[[#This Row],[Total (1)]]))),"")</f>
        <v>6.4207317073170733</v>
      </c>
      <c r="AD154" s="22">
        <f>IFERROR(IF(Mass_Data[[#This Row],[Check (1)]]="YES",Mass_Data[[#This Row],[MDL axle group 2 mass]],Mass_Data[[#This Row],[MDL axle group 2 mass]]-(Mass_Data[[#This Row],[Difference between MDL and GCM]]*(Mass_Data[[#This Row],[MDL axle group 2 mass]]/Mass_Data[[#This Row],[Total (1)]]))),"")</f>
        <v>16.298780487804876</v>
      </c>
      <c r="AE154" s="22">
        <f>IFERROR(IF(Mass_Data[[#This Row],[Check (1)]]="YES",Mass_Data[[#This Row],[MDL axle group 3 mass]],Mass_Data[[#This Row],[MDL axle group 3 mass]]-(Mass_Data[[#This Row],[Difference between MDL and GCM]]*(Mass_Data[[#This Row],[MDL axle group 3 mass]]/Mass_Data[[#This Row],[Total (1)]]))),"")</f>
        <v>17.780487804878049</v>
      </c>
      <c r="AF154" s="22" t="str">
        <f>IFERROR(IF(Mass_Data[[#This Row],[Check (1)]]="YES",Mass_Data[[#This Row],[MDL axle group 4 mass]],Mass_Data[[#This Row],[MDL axle group 4 mass]]-(Mass_Data[[#This Row],[Difference between MDL and GCM]]*(Mass_Data[[#This Row],[MDL axle group 4 mass]]/Mass_Data[[#This Row],[Total (1)]]))),"")</f>
        <v/>
      </c>
      <c r="AG154" s="22" t="str">
        <f>IFERROR(IF(Mass_Data[[#This Row],[Check (1)]]="YES",Mass_Data[[#This Row],[MDL axle group 5 mass]],Mass_Data[[#This Row],[MDL axle group 5 mass]]-(Mass_Data[[#This Row],[Difference between MDL and GCM]]*(Mass_Data[[#This Row],[MDL axle group 5 mass]]/Mass_Data[[#This Row],[Total (1)]]))),"")</f>
        <v/>
      </c>
      <c r="AH154" s="22" t="str">
        <f>IFERROR(IF(Mass_Data[[#This Row],[Check (1)]]="YES",Mass_Data[[#This Row],[MDL axle group 6 mass]],Mass_Data[[#This Row],[MDL axle group 6 mass]]-(Mass_Data[[#This Row],[Difference between MDL and GCM]]*(Mass_Data[[#This Row],[MDL axle group 6 mass]]/Mass_Data[[#This Row],[Total (1)]]))),"")</f>
        <v/>
      </c>
      <c r="AI154" s="22" t="str">
        <f>IFERROR(IF(Mass_Data[[#This Row],[Check (1)]]="YES",Mass_Data[[#This Row],[MDL axle group 7 mass]],Mass_Data[[#This Row],[MDL axle group 7 mass]]-(Mass_Data[[#This Row],[Difference between MDL and GCM]]*(Mass_Data[[#This Row],[MDL axle group 7 mass]]/Mass_Data[[#This Row],[Total (1)]]))),"")</f>
        <v/>
      </c>
      <c r="AJ154" s="81">
        <f>SUM(Mass_Data[[#This Row],[Corrected axle group 1 mass]:[Corrected axle group 7 mass]])</f>
        <v>40.5</v>
      </c>
      <c r="AK154">
        <f>Mass_Data[[#This Row],[Total (2)]]-Mass_Data[[#This Row],[GCM (t)]]</f>
        <v>0</v>
      </c>
      <c r="AL154" s="22" t="str">
        <f>IF(Mass_Data[[#This Row],[Difference between MDL and corrected axle masses]]=0,"YES","NO")</f>
        <v>YES</v>
      </c>
    </row>
    <row r="155" spans="3:38" x14ac:dyDescent="0.35">
      <c r="C155" s="10" t="str">
        <f t="shared" si="2"/>
        <v>Conventional - 3-Axle Truck and 4-Axle Dog Trailer (GML)</v>
      </c>
      <c r="D155" s="10" t="s">
        <v>188</v>
      </c>
      <c r="E155" s="10" t="s">
        <v>220</v>
      </c>
      <c r="F155" s="11" t="s">
        <v>18</v>
      </c>
      <c r="G155" s="11" t="s">
        <v>202</v>
      </c>
      <c r="H155" t="s">
        <v>59</v>
      </c>
      <c r="I155" s="9">
        <v>42.5</v>
      </c>
      <c r="J155" s="14">
        <v>24.700914574898782</v>
      </c>
      <c r="K155" s="14">
        <f>Mass_Data[[#This Row],[GCM (t)]]-Mass_Data[[#This Row],[Payload (t)]]</f>
        <v>17.799085425101218</v>
      </c>
      <c r="L155" t="s">
        <v>8</v>
      </c>
      <c r="M155" t="s">
        <v>9</v>
      </c>
      <c r="N155" t="s">
        <v>30</v>
      </c>
      <c r="O155" t="s">
        <v>30</v>
      </c>
      <c r="P155">
        <v>0</v>
      </c>
      <c r="Q155">
        <v>0</v>
      </c>
      <c r="R155">
        <v>0</v>
      </c>
      <c r="S155" cm="1">
        <f t="array" ref="S155">_xlfn.XLOOKUP(Mass_Data[[#This Row],[axle group 1]]&amp;Mass_Data[[#This Row],[Mass Scheme]],Axle_Data[Axle Code]&amp;Axle_Data[Mass Scheme],Axle_Data[MDL Maximum Mass (t)],"",0)</f>
        <v>6.5</v>
      </c>
      <c r="T155" cm="1">
        <f t="array" ref="T155">_xlfn.XLOOKUP(Mass_Data[[#This Row],[axle group 2]]&amp;Mass_Data[[#This Row],[Mass Scheme]],Axle_Data[Axle Code]&amp;Axle_Data[Mass Scheme],Axle_Data[MDL Maximum Mass (t)],"",0)</f>
        <v>16.5</v>
      </c>
      <c r="U155" cm="1">
        <f t="array" ref="U155">_xlfn.XLOOKUP(Mass_Data[[#This Row],[axle group 3]]&amp;Mass_Data[[#This Row],[Mass Scheme]],Axle_Data[Axle Code]&amp;Axle_Data[Mass Scheme],Axle_Data[MDL Maximum Mass (t)],"",0)</f>
        <v>16.5</v>
      </c>
      <c r="V155" cm="1">
        <f t="array" ref="V155">_xlfn.XLOOKUP(Mass_Data[[#This Row],[axle group 4]]&amp;Mass_Data[[#This Row],[Mass Scheme]],Axle_Data[Axle Code]&amp;Axle_Data[Mass Scheme],Axle_Data[MDL Maximum Mass (t)],"",0)</f>
        <v>16.5</v>
      </c>
      <c r="W155" t="str" cm="1">
        <f t="array" ref="W155">_xlfn.XLOOKUP(Mass_Data[[#This Row],[axle group 5]]&amp;Mass_Data[[#This Row],[Mass Scheme]],Axle_Data[Axle Code]&amp;Axle_Data[Mass Scheme],Axle_Data[MDL Maximum Mass (t)],"",0)</f>
        <v/>
      </c>
      <c r="X155" t="str" cm="1">
        <f t="array" ref="X155">_xlfn.XLOOKUP(Mass_Data[[#This Row],[axle group 6]]&amp;Mass_Data[[#This Row],[Mass Scheme]],Axle_Data[Axle Code]&amp;Axle_Data[Mass Scheme],Axle_Data[MDL Maximum Mass (t)],"",0)</f>
        <v/>
      </c>
      <c r="Y155" t="str" cm="1">
        <f t="array" ref="Y155">_xlfn.XLOOKUP(Mass_Data[[#This Row],[axle group 7]]&amp;Mass_Data[[#This Row],[Mass Scheme]],Axle_Data[Axle Code]&amp;Axle_Data[Mass Scheme],Axle_Data[MDL Maximum Mass (t)],"",0)</f>
        <v/>
      </c>
      <c r="Z155" s="81">
        <f>SUM(Mass_Data[[#This Row],[MDL axle group 1 mass]:[MDL axle group 7 mass]])</f>
        <v>56</v>
      </c>
      <c r="AA155">
        <f>Mass_Data[[#This Row],[Total (1)]]-Mass_Data[[#This Row],[GCM (t)]]</f>
        <v>13.5</v>
      </c>
      <c r="AB155" t="str">
        <f>IF(Mass_Data[[#This Row],[Difference between MDL and GCM]]=0,"YES","NO")</f>
        <v>NO</v>
      </c>
      <c r="AC155" s="22">
        <f>IFERROR(IF(Mass_Data[[#This Row],[Check (1)]]="YES",Mass_Data[[#This Row],[MDL axle group 1 mass]],Mass_Data[[#This Row],[MDL axle group 1 mass]]-(Mass_Data[[#This Row],[Difference between MDL and GCM]]*(Mass_Data[[#This Row],[MDL axle group 1 mass]]/Mass_Data[[#This Row],[Total (1)]]))),"")</f>
        <v>4.9330357142857144</v>
      </c>
      <c r="AD155" s="22">
        <f>IFERROR(IF(Mass_Data[[#This Row],[Check (1)]]="YES",Mass_Data[[#This Row],[MDL axle group 2 mass]],Mass_Data[[#This Row],[MDL axle group 2 mass]]-(Mass_Data[[#This Row],[Difference between MDL and GCM]]*(Mass_Data[[#This Row],[MDL axle group 2 mass]]/Mass_Data[[#This Row],[Total (1)]]))),"")</f>
        <v>12.522321428571429</v>
      </c>
      <c r="AE155" s="22">
        <f>IFERROR(IF(Mass_Data[[#This Row],[Check (1)]]="YES",Mass_Data[[#This Row],[MDL axle group 3 mass]],Mass_Data[[#This Row],[MDL axle group 3 mass]]-(Mass_Data[[#This Row],[Difference between MDL and GCM]]*(Mass_Data[[#This Row],[MDL axle group 3 mass]]/Mass_Data[[#This Row],[Total (1)]]))),"")</f>
        <v>12.522321428571429</v>
      </c>
      <c r="AF155" s="22">
        <f>IFERROR(IF(Mass_Data[[#This Row],[Check (1)]]="YES",Mass_Data[[#This Row],[MDL axle group 4 mass]],Mass_Data[[#This Row],[MDL axle group 4 mass]]-(Mass_Data[[#This Row],[Difference between MDL and GCM]]*(Mass_Data[[#This Row],[MDL axle group 4 mass]]/Mass_Data[[#This Row],[Total (1)]]))),"")</f>
        <v>12.522321428571429</v>
      </c>
      <c r="AG155" s="22" t="str">
        <f>IFERROR(IF(Mass_Data[[#This Row],[Check (1)]]="YES",Mass_Data[[#This Row],[MDL axle group 5 mass]],Mass_Data[[#This Row],[MDL axle group 5 mass]]-(Mass_Data[[#This Row],[Difference between MDL and GCM]]*(Mass_Data[[#This Row],[MDL axle group 5 mass]]/Mass_Data[[#This Row],[Total (1)]]))),"")</f>
        <v/>
      </c>
      <c r="AH155" s="22" t="str">
        <f>IFERROR(IF(Mass_Data[[#This Row],[Check (1)]]="YES",Mass_Data[[#This Row],[MDL axle group 6 mass]],Mass_Data[[#This Row],[MDL axle group 6 mass]]-(Mass_Data[[#This Row],[Difference between MDL and GCM]]*(Mass_Data[[#This Row],[MDL axle group 6 mass]]/Mass_Data[[#This Row],[Total (1)]]))),"")</f>
        <v/>
      </c>
      <c r="AI155" s="22" t="str">
        <f>IFERROR(IF(Mass_Data[[#This Row],[Check (1)]]="YES",Mass_Data[[#This Row],[MDL axle group 7 mass]],Mass_Data[[#This Row],[MDL axle group 7 mass]]-(Mass_Data[[#This Row],[Difference between MDL and GCM]]*(Mass_Data[[#This Row],[MDL axle group 7 mass]]/Mass_Data[[#This Row],[Total (1)]]))),"")</f>
        <v/>
      </c>
      <c r="AJ155" s="81">
        <f>SUM(Mass_Data[[#This Row],[Corrected axle group 1 mass]:[Corrected axle group 7 mass]])</f>
        <v>42.5</v>
      </c>
      <c r="AK155">
        <f>Mass_Data[[#This Row],[Total (2)]]-Mass_Data[[#This Row],[GCM (t)]]</f>
        <v>0</v>
      </c>
      <c r="AL155" s="22" t="str">
        <f>IF(Mass_Data[[#This Row],[Difference between MDL and corrected axle masses]]=0,"YES","NO")</f>
        <v>YES</v>
      </c>
    </row>
    <row r="156" spans="3:38" x14ac:dyDescent="0.35">
      <c r="C156" s="10" t="str">
        <f t="shared" si="2"/>
        <v>Conventional - 3-Axle Truck and 4-Axle Dog Trailer (CML)</v>
      </c>
      <c r="D156" s="10" t="s">
        <v>188</v>
      </c>
      <c r="E156" s="10" t="s">
        <v>220</v>
      </c>
      <c r="F156" s="11" t="s">
        <v>20</v>
      </c>
      <c r="G156" s="11" t="s">
        <v>202</v>
      </c>
      <c r="H156" t="s">
        <v>59</v>
      </c>
      <c r="I156" s="9">
        <v>43.5</v>
      </c>
      <c r="J156" s="14">
        <v>25.700914574898782</v>
      </c>
      <c r="K156" s="14">
        <f>Mass_Data[[#This Row],[GCM (t)]]-Mass_Data[[#This Row],[Payload (t)]]</f>
        <v>17.799085425101218</v>
      </c>
      <c r="L156" t="s">
        <v>8</v>
      </c>
      <c r="M156" t="s">
        <v>9</v>
      </c>
      <c r="N156" t="s">
        <v>30</v>
      </c>
      <c r="O156" t="s">
        <v>30</v>
      </c>
      <c r="P156">
        <v>0</v>
      </c>
      <c r="Q156">
        <v>0</v>
      </c>
      <c r="R156">
        <v>0</v>
      </c>
      <c r="S156" cm="1">
        <f t="array" ref="S156">_xlfn.XLOOKUP(Mass_Data[[#This Row],[axle group 1]]&amp;Mass_Data[[#This Row],[Mass Scheme]],Axle_Data[Axle Code]&amp;Axle_Data[Mass Scheme],Axle_Data[MDL Maximum Mass (t)],"",0)</f>
        <v>6.5</v>
      </c>
      <c r="T156" cm="1">
        <f t="array" ref="T156">_xlfn.XLOOKUP(Mass_Data[[#This Row],[axle group 2]]&amp;Mass_Data[[#This Row],[Mass Scheme]],Axle_Data[Axle Code]&amp;Axle_Data[Mass Scheme],Axle_Data[MDL Maximum Mass (t)],"",0)</f>
        <v>17</v>
      </c>
      <c r="U156" cm="1">
        <f t="array" ref="U156">_xlfn.XLOOKUP(Mass_Data[[#This Row],[axle group 3]]&amp;Mass_Data[[#This Row],[Mass Scheme]],Axle_Data[Axle Code]&amp;Axle_Data[Mass Scheme],Axle_Data[MDL Maximum Mass (t)],"",0)</f>
        <v>17</v>
      </c>
      <c r="V156" cm="1">
        <f t="array" ref="V156">_xlfn.XLOOKUP(Mass_Data[[#This Row],[axle group 4]]&amp;Mass_Data[[#This Row],[Mass Scheme]],Axle_Data[Axle Code]&amp;Axle_Data[Mass Scheme],Axle_Data[MDL Maximum Mass (t)],"",0)</f>
        <v>17</v>
      </c>
      <c r="W156" t="str" cm="1">
        <f t="array" ref="W156">_xlfn.XLOOKUP(Mass_Data[[#This Row],[axle group 5]]&amp;Mass_Data[[#This Row],[Mass Scheme]],Axle_Data[Axle Code]&amp;Axle_Data[Mass Scheme],Axle_Data[MDL Maximum Mass (t)],"",0)</f>
        <v/>
      </c>
      <c r="X156" t="str" cm="1">
        <f t="array" ref="X156">_xlfn.XLOOKUP(Mass_Data[[#This Row],[axle group 6]]&amp;Mass_Data[[#This Row],[Mass Scheme]],Axle_Data[Axle Code]&amp;Axle_Data[Mass Scheme],Axle_Data[MDL Maximum Mass (t)],"",0)</f>
        <v/>
      </c>
      <c r="Y156" t="str" cm="1">
        <f t="array" ref="Y156">_xlfn.XLOOKUP(Mass_Data[[#This Row],[axle group 7]]&amp;Mass_Data[[#This Row],[Mass Scheme]],Axle_Data[Axle Code]&amp;Axle_Data[Mass Scheme],Axle_Data[MDL Maximum Mass (t)],"",0)</f>
        <v/>
      </c>
      <c r="Z156" s="81">
        <f>SUM(Mass_Data[[#This Row],[MDL axle group 1 mass]:[MDL axle group 7 mass]])</f>
        <v>57.5</v>
      </c>
      <c r="AA156">
        <f>Mass_Data[[#This Row],[Total (1)]]-Mass_Data[[#This Row],[GCM (t)]]</f>
        <v>14</v>
      </c>
      <c r="AB156" t="str">
        <f>IF(Mass_Data[[#This Row],[Difference between MDL and GCM]]=0,"YES","NO")</f>
        <v>NO</v>
      </c>
      <c r="AC156" s="22">
        <f>IFERROR(IF(Mass_Data[[#This Row],[Check (1)]]="YES",Mass_Data[[#This Row],[MDL axle group 1 mass]],Mass_Data[[#This Row],[MDL axle group 1 mass]]-(Mass_Data[[#This Row],[Difference between MDL and GCM]]*(Mass_Data[[#This Row],[MDL axle group 1 mass]]/Mass_Data[[#This Row],[Total (1)]]))),"")</f>
        <v>4.9173913043478263</v>
      </c>
      <c r="AD156" s="22">
        <f>IFERROR(IF(Mass_Data[[#This Row],[Check (1)]]="YES",Mass_Data[[#This Row],[MDL axle group 2 mass]],Mass_Data[[#This Row],[MDL axle group 2 mass]]-(Mass_Data[[#This Row],[Difference between MDL and GCM]]*(Mass_Data[[#This Row],[MDL axle group 2 mass]]/Mass_Data[[#This Row],[Total (1)]]))),"")</f>
        <v>12.860869565217392</v>
      </c>
      <c r="AE156" s="22">
        <f>IFERROR(IF(Mass_Data[[#This Row],[Check (1)]]="YES",Mass_Data[[#This Row],[MDL axle group 3 mass]],Mass_Data[[#This Row],[MDL axle group 3 mass]]-(Mass_Data[[#This Row],[Difference between MDL and GCM]]*(Mass_Data[[#This Row],[MDL axle group 3 mass]]/Mass_Data[[#This Row],[Total (1)]]))),"")</f>
        <v>12.860869565217392</v>
      </c>
      <c r="AF156" s="22">
        <f>IFERROR(IF(Mass_Data[[#This Row],[Check (1)]]="YES",Mass_Data[[#This Row],[MDL axle group 4 mass]],Mass_Data[[#This Row],[MDL axle group 4 mass]]-(Mass_Data[[#This Row],[Difference between MDL and GCM]]*(Mass_Data[[#This Row],[MDL axle group 4 mass]]/Mass_Data[[#This Row],[Total (1)]]))),"")</f>
        <v>12.860869565217392</v>
      </c>
      <c r="AG156" s="22" t="str">
        <f>IFERROR(IF(Mass_Data[[#This Row],[Check (1)]]="YES",Mass_Data[[#This Row],[MDL axle group 5 mass]],Mass_Data[[#This Row],[MDL axle group 5 mass]]-(Mass_Data[[#This Row],[Difference between MDL and GCM]]*(Mass_Data[[#This Row],[MDL axle group 5 mass]]/Mass_Data[[#This Row],[Total (1)]]))),"")</f>
        <v/>
      </c>
      <c r="AH156" s="22" t="str">
        <f>IFERROR(IF(Mass_Data[[#This Row],[Check (1)]]="YES",Mass_Data[[#This Row],[MDL axle group 6 mass]],Mass_Data[[#This Row],[MDL axle group 6 mass]]-(Mass_Data[[#This Row],[Difference between MDL and GCM]]*(Mass_Data[[#This Row],[MDL axle group 6 mass]]/Mass_Data[[#This Row],[Total (1)]]))),"")</f>
        <v/>
      </c>
      <c r="AI156" s="22" t="str">
        <f>IFERROR(IF(Mass_Data[[#This Row],[Check (1)]]="YES",Mass_Data[[#This Row],[MDL axle group 7 mass]],Mass_Data[[#This Row],[MDL axle group 7 mass]]-(Mass_Data[[#This Row],[Difference between MDL and GCM]]*(Mass_Data[[#This Row],[MDL axle group 7 mass]]/Mass_Data[[#This Row],[Total (1)]]))),"")</f>
        <v/>
      </c>
      <c r="AJ156" s="81">
        <f>SUM(Mass_Data[[#This Row],[Corrected axle group 1 mass]:[Corrected axle group 7 mass]])</f>
        <v>43.5</v>
      </c>
      <c r="AK156">
        <f>Mass_Data[[#This Row],[Total (2)]]-Mass_Data[[#This Row],[GCM (t)]]</f>
        <v>0</v>
      </c>
      <c r="AL156" s="22" t="str">
        <f>IF(Mass_Data[[#This Row],[Difference between MDL and corrected axle masses]]=0,"YES","NO")</f>
        <v>YES</v>
      </c>
    </row>
    <row r="157" spans="3:38" x14ac:dyDescent="0.35">
      <c r="C157" s="10" t="str">
        <f t="shared" si="2"/>
        <v>Conventional - 4-Axle Truck and 3-Axle Dog Trailer (GML)</v>
      </c>
      <c r="D157" s="10" t="s">
        <v>186</v>
      </c>
      <c r="E157" s="10" t="s">
        <v>220</v>
      </c>
      <c r="F157" s="11" t="s">
        <v>18</v>
      </c>
      <c r="G157" s="11" t="s">
        <v>202</v>
      </c>
      <c r="H157" t="s">
        <v>117</v>
      </c>
      <c r="I157" s="9">
        <v>42.5</v>
      </c>
      <c r="J157" s="14">
        <v>23.127600265251992</v>
      </c>
      <c r="K157" s="14">
        <f>Mass_Data[[#This Row],[GCM (t)]]-Mass_Data[[#This Row],[Payload (t)]]</f>
        <v>19.372399734748008</v>
      </c>
      <c r="L157" t="s">
        <v>40</v>
      </c>
      <c r="M157" t="s">
        <v>30</v>
      </c>
      <c r="N157" t="s">
        <v>24</v>
      </c>
      <c r="O157" t="s">
        <v>30</v>
      </c>
      <c r="Q157">
        <v>0</v>
      </c>
      <c r="R157">
        <v>0</v>
      </c>
      <c r="S157" cm="1">
        <f t="array" ref="S157">_xlfn.XLOOKUP(Mass_Data[[#This Row],[axle group 1]]&amp;Mass_Data[[#This Row],[Mass Scheme]],Axle_Data[Axle Code]&amp;Axle_Data[Mass Scheme],Axle_Data[MDL Maximum Mass (t)],"",0)</f>
        <v>11</v>
      </c>
      <c r="T157" cm="1">
        <f t="array" ref="T157">_xlfn.XLOOKUP(Mass_Data[[#This Row],[axle group 2]]&amp;Mass_Data[[#This Row],[Mass Scheme]],Axle_Data[Axle Code]&amp;Axle_Data[Mass Scheme],Axle_Data[MDL Maximum Mass (t)],"",0)</f>
        <v>16.5</v>
      </c>
      <c r="U157" cm="1">
        <f t="array" ref="U157">_xlfn.XLOOKUP(Mass_Data[[#This Row],[axle group 3]]&amp;Mass_Data[[#This Row],[Mass Scheme]],Axle_Data[Axle Code]&amp;Axle_Data[Mass Scheme],Axle_Data[MDL Maximum Mass (t)],"",0)</f>
        <v>9</v>
      </c>
      <c r="V157" cm="1">
        <f t="array" ref="V157">_xlfn.XLOOKUP(Mass_Data[[#This Row],[axle group 4]]&amp;Mass_Data[[#This Row],[Mass Scheme]],Axle_Data[Axle Code]&amp;Axle_Data[Mass Scheme],Axle_Data[MDL Maximum Mass (t)],"",0)</f>
        <v>16.5</v>
      </c>
      <c r="W157" t="str" cm="1">
        <f t="array" ref="W157">_xlfn.XLOOKUP(Mass_Data[[#This Row],[axle group 5]]&amp;Mass_Data[[#This Row],[Mass Scheme]],Axle_Data[Axle Code]&amp;Axle_Data[Mass Scheme],Axle_Data[MDL Maximum Mass (t)],"",0)</f>
        <v/>
      </c>
      <c r="X157" t="str" cm="1">
        <f t="array" ref="X157">_xlfn.XLOOKUP(Mass_Data[[#This Row],[axle group 6]]&amp;Mass_Data[[#This Row],[Mass Scheme]],Axle_Data[Axle Code]&amp;Axle_Data[Mass Scheme],Axle_Data[MDL Maximum Mass (t)],"",0)</f>
        <v/>
      </c>
      <c r="Y157" t="str" cm="1">
        <f t="array" ref="Y157">_xlfn.XLOOKUP(Mass_Data[[#This Row],[axle group 7]]&amp;Mass_Data[[#This Row],[Mass Scheme]],Axle_Data[Axle Code]&amp;Axle_Data[Mass Scheme],Axle_Data[MDL Maximum Mass (t)],"",0)</f>
        <v/>
      </c>
      <c r="Z157" s="81">
        <f>SUM(Mass_Data[[#This Row],[MDL axle group 1 mass]:[MDL axle group 7 mass]])</f>
        <v>53</v>
      </c>
      <c r="AA157">
        <f>Mass_Data[[#This Row],[Total (1)]]-Mass_Data[[#This Row],[GCM (t)]]</f>
        <v>10.5</v>
      </c>
      <c r="AB157" t="str">
        <f>IF(Mass_Data[[#This Row],[Difference between MDL and GCM]]=0,"YES","NO")</f>
        <v>NO</v>
      </c>
      <c r="AC157" s="22">
        <f>IFERROR(IF(Mass_Data[[#This Row],[Check (1)]]="YES",Mass_Data[[#This Row],[MDL axle group 1 mass]],Mass_Data[[#This Row],[MDL axle group 1 mass]]-(Mass_Data[[#This Row],[Difference between MDL and GCM]]*(Mass_Data[[#This Row],[MDL axle group 1 mass]]/Mass_Data[[#This Row],[Total (1)]]))),"")</f>
        <v>8.8207547169811313</v>
      </c>
      <c r="AD157" s="22">
        <f>IFERROR(IF(Mass_Data[[#This Row],[Check (1)]]="YES",Mass_Data[[#This Row],[MDL axle group 2 mass]],Mass_Data[[#This Row],[MDL axle group 2 mass]]-(Mass_Data[[#This Row],[Difference between MDL and GCM]]*(Mass_Data[[#This Row],[MDL axle group 2 mass]]/Mass_Data[[#This Row],[Total (1)]]))),"")</f>
        <v>13.231132075471699</v>
      </c>
      <c r="AE157" s="22">
        <f>IFERROR(IF(Mass_Data[[#This Row],[Check (1)]]="YES",Mass_Data[[#This Row],[MDL axle group 3 mass]],Mass_Data[[#This Row],[MDL axle group 3 mass]]-(Mass_Data[[#This Row],[Difference between MDL and GCM]]*(Mass_Data[[#This Row],[MDL axle group 3 mass]]/Mass_Data[[#This Row],[Total (1)]]))),"")</f>
        <v>7.216981132075472</v>
      </c>
      <c r="AF157" s="22">
        <f>IFERROR(IF(Mass_Data[[#This Row],[Check (1)]]="YES",Mass_Data[[#This Row],[MDL axle group 4 mass]],Mass_Data[[#This Row],[MDL axle group 4 mass]]-(Mass_Data[[#This Row],[Difference between MDL and GCM]]*(Mass_Data[[#This Row],[MDL axle group 4 mass]]/Mass_Data[[#This Row],[Total (1)]]))),"")</f>
        <v>13.231132075471699</v>
      </c>
      <c r="AG157" s="22" t="str">
        <f>IFERROR(IF(Mass_Data[[#This Row],[Check (1)]]="YES",Mass_Data[[#This Row],[MDL axle group 5 mass]],Mass_Data[[#This Row],[MDL axle group 5 mass]]-(Mass_Data[[#This Row],[Difference between MDL and GCM]]*(Mass_Data[[#This Row],[MDL axle group 5 mass]]/Mass_Data[[#This Row],[Total (1)]]))),"")</f>
        <v/>
      </c>
      <c r="AH157" s="22" t="str">
        <f>IFERROR(IF(Mass_Data[[#This Row],[Check (1)]]="YES",Mass_Data[[#This Row],[MDL axle group 6 mass]],Mass_Data[[#This Row],[MDL axle group 6 mass]]-(Mass_Data[[#This Row],[Difference between MDL and GCM]]*(Mass_Data[[#This Row],[MDL axle group 6 mass]]/Mass_Data[[#This Row],[Total (1)]]))),"")</f>
        <v/>
      </c>
      <c r="AI157" s="22" t="str">
        <f>IFERROR(IF(Mass_Data[[#This Row],[Check (1)]]="YES",Mass_Data[[#This Row],[MDL axle group 7 mass]],Mass_Data[[#This Row],[MDL axle group 7 mass]]-(Mass_Data[[#This Row],[Difference between MDL and GCM]]*(Mass_Data[[#This Row],[MDL axle group 7 mass]]/Mass_Data[[#This Row],[Total (1)]]))),"")</f>
        <v/>
      </c>
      <c r="AJ157" s="81">
        <f>SUM(Mass_Data[[#This Row],[Corrected axle group 1 mass]:[Corrected axle group 7 mass]])</f>
        <v>42.5</v>
      </c>
      <c r="AK157">
        <f>Mass_Data[[#This Row],[Total (2)]]-Mass_Data[[#This Row],[GCM (t)]]</f>
        <v>0</v>
      </c>
      <c r="AL157" s="22" t="str">
        <f>IF(Mass_Data[[#This Row],[Difference between MDL and corrected axle masses]]=0,"YES","NO")</f>
        <v>YES</v>
      </c>
    </row>
    <row r="158" spans="3:38" x14ac:dyDescent="0.35">
      <c r="C158" s="10" t="str">
        <f t="shared" si="2"/>
        <v>Conventional - 4-Axle Truck and 3-Axle Dog Trailer (CML)</v>
      </c>
      <c r="D158" s="10" t="s">
        <v>186</v>
      </c>
      <c r="E158" s="10" t="s">
        <v>220</v>
      </c>
      <c r="F158" s="11" t="s">
        <v>20</v>
      </c>
      <c r="G158" s="11" t="s">
        <v>202</v>
      </c>
      <c r="H158" t="s">
        <v>117</v>
      </c>
      <c r="I158" s="9">
        <v>43.5</v>
      </c>
      <c r="J158" s="14">
        <v>24.127600265251992</v>
      </c>
      <c r="K158" s="14">
        <f>Mass_Data[[#This Row],[GCM (t)]]-Mass_Data[[#This Row],[Payload (t)]]</f>
        <v>19.372399734748008</v>
      </c>
      <c r="L158" t="s">
        <v>40</v>
      </c>
      <c r="M158" t="s">
        <v>30</v>
      </c>
      <c r="N158" t="s">
        <v>24</v>
      </c>
      <c r="O158" t="s">
        <v>30</v>
      </c>
      <c r="Q158">
        <v>0</v>
      </c>
      <c r="R158">
        <v>0</v>
      </c>
      <c r="S158" cm="1">
        <f t="array" ref="S158">_xlfn.XLOOKUP(Mass_Data[[#This Row],[axle group 1]]&amp;Mass_Data[[#This Row],[Mass Scheme]],Axle_Data[Axle Code]&amp;Axle_Data[Mass Scheme],Axle_Data[MDL Maximum Mass (t)],"",0)</f>
        <v>11</v>
      </c>
      <c r="T158" cm="1">
        <f t="array" ref="T158">_xlfn.XLOOKUP(Mass_Data[[#This Row],[axle group 2]]&amp;Mass_Data[[#This Row],[Mass Scheme]],Axle_Data[Axle Code]&amp;Axle_Data[Mass Scheme],Axle_Data[MDL Maximum Mass (t)],"",0)</f>
        <v>17</v>
      </c>
      <c r="U158" cm="1">
        <f t="array" ref="U158">_xlfn.XLOOKUP(Mass_Data[[#This Row],[axle group 3]]&amp;Mass_Data[[#This Row],[Mass Scheme]],Axle_Data[Axle Code]&amp;Axle_Data[Mass Scheme],Axle_Data[MDL Maximum Mass (t)],"",0)</f>
        <v>9</v>
      </c>
      <c r="V158" cm="1">
        <f t="array" ref="V158">_xlfn.XLOOKUP(Mass_Data[[#This Row],[axle group 4]]&amp;Mass_Data[[#This Row],[Mass Scheme]],Axle_Data[Axle Code]&amp;Axle_Data[Mass Scheme],Axle_Data[MDL Maximum Mass (t)],"",0)</f>
        <v>17</v>
      </c>
      <c r="W158" t="str" cm="1">
        <f t="array" ref="W158">_xlfn.XLOOKUP(Mass_Data[[#This Row],[axle group 5]]&amp;Mass_Data[[#This Row],[Mass Scheme]],Axle_Data[Axle Code]&amp;Axle_Data[Mass Scheme],Axle_Data[MDL Maximum Mass (t)],"",0)</f>
        <v/>
      </c>
      <c r="X158" t="str" cm="1">
        <f t="array" ref="X158">_xlfn.XLOOKUP(Mass_Data[[#This Row],[axle group 6]]&amp;Mass_Data[[#This Row],[Mass Scheme]],Axle_Data[Axle Code]&amp;Axle_Data[Mass Scheme],Axle_Data[MDL Maximum Mass (t)],"",0)</f>
        <v/>
      </c>
      <c r="Y158" t="str" cm="1">
        <f t="array" ref="Y158">_xlfn.XLOOKUP(Mass_Data[[#This Row],[axle group 7]]&amp;Mass_Data[[#This Row],[Mass Scheme]],Axle_Data[Axle Code]&amp;Axle_Data[Mass Scheme],Axle_Data[MDL Maximum Mass (t)],"",0)</f>
        <v/>
      </c>
      <c r="Z158" s="81">
        <f>SUM(Mass_Data[[#This Row],[MDL axle group 1 mass]:[MDL axle group 7 mass]])</f>
        <v>54</v>
      </c>
      <c r="AA158">
        <f>Mass_Data[[#This Row],[Total (1)]]-Mass_Data[[#This Row],[GCM (t)]]</f>
        <v>10.5</v>
      </c>
      <c r="AB158" t="str">
        <f>IF(Mass_Data[[#This Row],[Difference between MDL and GCM]]=0,"YES","NO")</f>
        <v>NO</v>
      </c>
      <c r="AC158" s="22">
        <f>IFERROR(IF(Mass_Data[[#This Row],[Check (1)]]="YES",Mass_Data[[#This Row],[MDL axle group 1 mass]],Mass_Data[[#This Row],[MDL axle group 1 mass]]-(Mass_Data[[#This Row],[Difference between MDL and GCM]]*(Mass_Data[[#This Row],[MDL axle group 1 mass]]/Mass_Data[[#This Row],[Total (1)]]))),"")</f>
        <v>8.8611111111111107</v>
      </c>
      <c r="AD158" s="22">
        <f>IFERROR(IF(Mass_Data[[#This Row],[Check (1)]]="YES",Mass_Data[[#This Row],[MDL axle group 2 mass]],Mass_Data[[#This Row],[MDL axle group 2 mass]]-(Mass_Data[[#This Row],[Difference between MDL and GCM]]*(Mass_Data[[#This Row],[MDL axle group 2 mass]]/Mass_Data[[#This Row],[Total (1)]]))),"")</f>
        <v>13.694444444444445</v>
      </c>
      <c r="AE158" s="22">
        <f>IFERROR(IF(Mass_Data[[#This Row],[Check (1)]]="YES",Mass_Data[[#This Row],[MDL axle group 3 mass]],Mass_Data[[#This Row],[MDL axle group 3 mass]]-(Mass_Data[[#This Row],[Difference between MDL and GCM]]*(Mass_Data[[#This Row],[MDL axle group 3 mass]]/Mass_Data[[#This Row],[Total (1)]]))),"")</f>
        <v>7.25</v>
      </c>
      <c r="AF158" s="22">
        <f>IFERROR(IF(Mass_Data[[#This Row],[Check (1)]]="YES",Mass_Data[[#This Row],[MDL axle group 4 mass]],Mass_Data[[#This Row],[MDL axle group 4 mass]]-(Mass_Data[[#This Row],[Difference between MDL and GCM]]*(Mass_Data[[#This Row],[MDL axle group 4 mass]]/Mass_Data[[#This Row],[Total (1)]]))),"")</f>
        <v>13.694444444444445</v>
      </c>
      <c r="AG158" s="22" t="str">
        <f>IFERROR(IF(Mass_Data[[#This Row],[Check (1)]]="YES",Mass_Data[[#This Row],[MDL axle group 5 mass]],Mass_Data[[#This Row],[MDL axle group 5 mass]]-(Mass_Data[[#This Row],[Difference between MDL and GCM]]*(Mass_Data[[#This Row],[MDL axle group 5 mass]]/Mass_Data[[#This Row],[Total (1)]]))),"")</f>
        <v/>
      </c>
      <c r="AH158" s="22" t="str">
        <f>IFERROR(IF(Mass_Data[[#This Row],[Check (1)]]="YES",Mass_Data[[#This Row],[MDL axle group 6 mass]],Mass_Data[[#This Row],[MDL axle group 6 mass]]-(Mass_Data[[#This Row],[Difference between MDL and GCM]]*(Mass_Data[[#This Row],[MDL axle group 6 mass]]/Mass_Data[[#This Row],[Total (1)]]))),"")</f>
        <v/>
      </c>
      <c r="AI158" s="22" t="str">
        <f>IFERROR(IF(Mass_Data[[#This Row],[Check (1)]]="YES",Mass_Data[[#This Row],[MDL axle group 7 mass]],Mass_Data[[#This Row],[MDL axle group 7 mass]]-(Mass_Data[[#This Row],[Difference between MDL and GCM]]*(Mass_Data[[#This Row],[MDL axle group 7 mass]]/Mass_Data[[#This Row],[Total (1)]]))),"")</f>
        <v/>
      </c>
      <c r="AJ158" s="81">
        <f>SUM(Mass_Data[[#This Row],[Corrected axle group 1 mass]:[Corrected axle group 7 mass]])</f>
        <v>43.5</v>
      </c>
      <c r="AK158">
        <f>Mass_Data[[#This Row],[Total (2)]]-Mass_Data[[#This Row],[GCM (t)]]</f>
        <v>0</v>
      </c>
      <c r="AL158" s="22" t="str">
        <f>IF(Mass_Data[[#This Row],[Difference between MDL and corrected axle masses]]=0,"YES","NO")</f>
        <v>YES</v>
      </c>
    </row>
    <row r="159" spans="3:38" x14ac:dyDescent="0.35">
      <c r="C159" s="10" t="str">
        <f t="shared" si="2"/>
        <v>Conventional - 4-Axle Truck and 4-Axle Dog Trailer (GML)</v>
      </c>
      <c r="D159" s="10" t="s">
        <v>184</v>
      </c>
      <c r="E159" s="10" t="s">
        <v>220</v>
      </c>
      <c r="F159" s="11" t="s">
        <v>18</v>
      </c>
      <c r="G159" s="11" t="s">
        <v>202</v>
      </c>
      <c r="H159" t="s">
        <v>61</v>
      </c>
      <c r="I159" s="9">
        <v>42.5</v>
      </c>
      <c r="J159" s="14">
        <v>21.359815384615381</v>
      </c>
      <c r="K159" s="14">
        <f>Mass_Data[[#This Row],[GCM (t)]]-Mass_Data[[#This Row],[Payload (t)]]</f>
        <v>21.140184615384619</v>
      </c>
      <c r="L159" t="s">
        <v>40</v>
      </c>
      <c r="M159" t="s">
        <v>30</v>
      </c>
      <c r="N159" t="s">
        <v>30</v>
      </c>
      <c r="O159" t="s">
        <v>30</v>
      </c>
      <c r="Q159">
        <v>0</v>
      </c>
      <c r="R159">
        <v>0</v>
      </c>
      <c r="S159" cm="1">
        <f t="array" ref="S159">_xlfn.XLOOKUP(Mass_Data[[#This Row],[axle group 1]]&amp;Mass_Data[[#This Row],[Mass Scheme]],Axle_Data[Axle Code]&amp;Axle_Data[Mass Scheme],Axle_Data[MDL Maximum Mass (t)],"",0)</f>
        <v>11</v>
      </c>
      <c r="T159" cm="1">
        <f t="array" ref="T159">_xlfn.XLOOKUP(Mass_Data[[#This Row],[axle group 2]]&amp;Mass_Data[[#This Row],[Mass Scheme]],Axle_Data[Axle Code]&amp;Axle_Data[Mass Scheme],Axle_Data[MDL Maximum Mass (t)],"",0)</f>
        <v>16.5</v>
      </c>
      <c r="U159" cm="1">
        <f t="array" ref="U159">_xlfn.XLOOKUP(Mass_Data[[#This Row],[axle group 3]]&amp;Mass_Data[[#This Row],[Mass Scheme]],Axle_Data[Axle Code]&amp;Axle_Data[Mass Scheme],Axle_Data[MDL Maximum Mass (t)],"",0)</f>
        <v>16.5</v>
      </c>
      <c r="V159" cm="1">
        <f t="array" ref="V159">_xlfn.XLOOKUP(Mass_Data[[#This Row],[axle group 4]]&amp;Mass_Data[[#This Row],[Mass Scheme]],Axle_Data[Axle Code]&amp;Axle_Data[Mass Scheme],Axle_Data[MDL Maximum Mass (t)],"",0)</f>
        <v>16.5</v>
      </c>
      <c r="W159" t="str" cm="1">
        <f t="array" ref="W159">_xlfn.XLOOKUP(Mass_Data[[#This Row],[axle group 5]]&amp;Mass_Data[[#This Row],[Mass Scheme]],Axle_Data[Axle Code]&amp;Axle_Data[Mass Scheme],Axle_Data[MDL Maximum Mass (t)],"",0)</f>
        <v/>
      </c>
      <c r="X159" t="str" cm="1">
        <f t="array" ref="X159">_xlfn.XLOOKUP(Mass_Data[[#This Row],[axle group 6]]&amp;Mass_Data[[#This Row],[Mass Scheme]],Axle_Data[Axle Code]&amp;Axle_Data[Mass Scheme],Axle_Data[MDL Maximum Mass (t)],"",0)</f>
        <v/>
      </c>
      <c r="Y159" t="str" cm="1">
        <f t="array" ref="Y159">_xlfn.XLOOKUP(Mass_Data[[#This Row],[axle group 7]]&amp;Mass_Data[[#This Row],[Mass Scheme]],Axle_Data[Axle Code]&amp;Axle_Data[Mass Scheme],Axle_Data[MDL Maximum Mass (t)],"",0)</f>
        <v/>
      </c>
      <c r="Z159" s="81">
        <f>SUM(Mass_Data[[#This Row],[MDL axle group 1 mass]:[MDL axle group 7 mass]])</f>
        <v>60.5</v>
      </c>
      <c r="AA159">
        <f>Mass_Data[[#This Row],[Total (1)]]-Mass_Data[[#This Row],[GCM (t)]]</f>
        <v>18</v>
      </c>
      <c r="AB159" t="str">
        <f>IF(Mass_Data[[#This Row],[Difference between MDL and GCM]]=0,"YES","NO")</f>
        <v>NO</v>
      </c>
      <c r="AC159" s="22">
        <f>IFERROR(IF(Mass_Data[[#This Row],[Check (1)]]="YES",Mass_Data[[#This Row],[MDL axle group 1 mass]],Mass_Data[[#This Row],[MDL axle group 1 mass]]-(Mass_Data[[#This Row],[Difference between MDL and GCM]]*(Mass_Data[[#This Row],[MDL axle group 1 mass]]/Mass_Data[[#This Row],[Total (1)]]))),"")</f>
        <v>7.7272727272727266</v>
      </c>
      <c r="AD159" s="22">
        <f>IFERROR(IF(Mass_Data[[#This Row],[Check (1)]]="YES",Mass_Data[[#This Row],[MDL axle group 2 mass]],Mass_Data[[#This Row],[MDL axle group 2 mass]]-(Mass_Data[[#This Row],[Difference between MDL and GCM]]*(Mass_Data[[#This Row],[MDL axle group 2 mass]]/Mass_Data[[#This Row],[Total (1)]]))),"")</f>
        <v>11.590909090909092</v>
      </c>
      <c r="AE159" s="22">
        <f>IFERROR(IF(Mass_Data[[#This Row],[Check (1)]]="YES",Mass_Data[[#This Row],[MDL axle group 3 mass]],Mass_Data[[#This Row],[MDL axle group 3 mass]]-(Mass_Data[[#This Row],[Difference between MDL and GCM]]*(Mass_Data[[#This Row],[MDL axle group 3 mass]]/Mass_Data[[#This Row],[Total (1)]]))),"")</f>
        <v>11.590909090909092</v>
      </c>
      <c r="AF159" s="22">
        <f>IFERROR(IF(Mass_Data[[#This Row],[Check (1)]]="YES",Mass_Data[[#This Row],[MDL axle group 4 mass]],Mass_Data[[#This Row],[MDL axle group 4 mass]]-(Mass_Data[[#This Row],[Difference between MDL and GCM]]*(Mass_Data[[#This Row],[MDL axle group 4 mass]]/Mass_Data[[#This Row],[Total (1)]]))),"")</f>
        <v>11.590909090909092</v>
      </c>
      <c r="AG159" s="22" t="str">
        <f>IFERROR(IF(Mass_Data[[#This Row],[Check (1)]]="YES",Mass_Data[[#This Row],[MDL axle group 5 mass]],Mass_Data[[#This Row],[MDL axle group 5 mass]]-(Mass_Data[[#This Row],[Difference between MDL and GCM]]*(Mass_Data[[#This Row],[MDL axle group 5 mass]]/Mass_Data[[#This Row],[Total (1)]]))),"")</f>
        <v/>
      </c>
      <c r="AH159" s="22" t="str">
        <f>IFERROR(IF(Mass_Data[[#This Row],[Check (1)]]="YES",Mass_Data[[#This Row],[MDL axle group 6 mass]],Mass_Data[[#This Row],[MDL axle group 6 mass]]-(Mass_Data[[#This Row],[Difference between MDL and GCM]]*(Mass_Data[[#This Row],[MDL axle group 6 mass]]/Mass_Data[[#This Row],[Total (1)]]))),"")</f>
        <v/>
      </c>
      <c r="AI159" s="22" t="str">
        <f>IFERROR(IF(Mass_Data[[#This Row],[Check (1)]]="YES",Mass_Data[[#This Row],[MDL axle group 7 mass]],Mass_Data[[#This Row],[MDL axle group 7 mass]]-(Mass_Data[[#This Row],[Difference between MDL and GCM]]*(Mass_Data[[#This Row],[MDL axle group 7 mass]]/Mass_Data[[#This Row],[Total (1)]]))),"")</f>
        <v/>
      </c>
      <c r="AJ159" s="81">
        <f>SUM(Mass_Data[[#This Row],[Corrected axle group 1 mass]:[Corrected axle group 7 mass]])</f>
        <v>42.500000000000007</v>
      </c>
      <c r="AK159">
        <f>Mass_Data[[#This Row],[Total (2)]]-Mass_Data[[#This Row],[GCM (t)]]</f>
        <v>0</v>
      </c>
      <c r="AL159" s="22" t="str">
        <f>IF(Mass_Data[[#This Row],[Difference between MDL and corrected axle masses]]=0,"YES","NO")</f>
        <v>YES</v>
      </c>
    </row>
    <row r="160" spans="3:38" x14ac:dyDescent="0.35">
      <c r="C160" s="10" t="str">
        <f t="shared" si="2"/>
        <v>Conventional - 4-Axle Truck and 4-Axle Dog Trailer (CML)</v>
      </c>
      <c r="D160" s="10" t="s">
        <v>184</v>
      </c>
      <c r="E160" s="10" t="s">
        <v>220</v>
      </c>
      <c r="F160" s="11" t="s">
        <v>20</v>
      </c>
      <c r="G160" s="11" t="s">
        <v>202</v>
      </c>
      <c r="H160" t="s">
        <v>61</v>
      </c>
      <c r="I160" s="9">
        <v>43.5</v>
      </c>
      <c r="J160" s="14">
        <v>22.359815384615381</v>
      </c>
      <c r="K160" s="14">
        <f>Mass_Data[[#This Row],[GCM (t)]]-Mass_Data[[#This Row],[Payload (t)]]</f>
        <v>21.140184615384619</v>
      </c>
      <c r="L160" t="s">
        <v>40</v>
      </c>
      <c r="M160" t="s">
        <v>30</v>
      </c>
      <c r="N160" t="s">
        <v>30</v>
      </c>
      <c r="O160" t="s">
        <v>30</v>
      </c>
      <c r="Q160">
        <v>0</v>
      </c>
      <c r="R160">
        <v>0</v>
      </c>
      <c r="S160" cm="1">
        <f t="array" ref="S160">_xlfn.XLOOKUP(Mass_Data[[#This Row],[axle group 1]]&amp;Mass_Data[[#This Row],[Mass Scheme]],Axle_Data[Axle Code]&amp;Axle_Data[Mass Scheme],Axle_Data[MDL Maximum Mass (t)],"",0)</f>
        <v>11</v>
      </c>
      <c r="T160" cm="1">
        <f t="array" ref="T160">_xlfn.XLOOKUP(Mass_Data[[#This Row],[axle group 2]]&amp;Mass_Data[[#This Row],[Mass Scheme]],Axle_Data[Axle Code]&amp;Axle_Data[Mass Scheme],Axle_Data[MDL Maximum Mass (t)],"",0)</f>
        <v>17</v>
      </c>
      <c r="U160" cm="1">
        <f t="array" ref="U160">_xlfn.XLOOKUP(Mass_Data[[#This Row],[axle group 3]]&amp;Mass_Data[[#This Row],[Mass Scheme]],Axle_Data[Axle Code]&amp;Axle_Data[Mass Scheme],Axle_Data[MDL Maximum Mass (t)],"",0)</f>
        <v>17</v>
      </c>
      <c r="V160" cm="1">
        <f t="array" ref="V160">_xlfn.XLOOKUP(Mass_Data[[#This Row],[axle group 4]]&amp;Mass_Data[[#This Row],[Mass Scheme]],Axle_Data[Axle Code]&amp;Axle_Data[Mass Scheme],Axle_Data[MDL Maximum Mass (t)],"",0)</f>
        <v>17</v>
      </c>
      <c r="W160" t="str" cm="1">
        <f t="array" ref="W160">_xlfn.XLOOKUP(Mass_Data[[#This Row],[axle group 5]]&amp;Mass_Data[[#This Row],[Mass Scheme]],Axle_Data[Axle Code]&amp;Axle_Data[Mass Scheme],Axle_Data[MDL Maximum Mass (t)],"",0)</f>
        <v/>
      </c>
      <c r="X160" t="str" cm="1">
        <f t="array" ref="X160">_xlfn.XLOOKUP(Mass_Data[[#This Row],[axle group 6]]&amp;Mass_Data[[#This Row],[Mass Scheme]],Axle_Data[Axle Code]&amp;Axle_Data[Mass Scheme],Axle_Data[MDL Maximum Mass (t)],"",0)</f>
        <v/>
      </c>
      <c r="Y160" t="str" cm="1">
        <f t="array" ref="Y160">_xlfn.XLOOKUP(Mass_Data[[#This Row],[axle group 7]]&amp;Mass_Data[[#This Row],[Mass Scheme]],Axle_Data[Axle Code]&amp;Axle_Data[Mass Scheme],Axle_Data[MDL Maximum Mass (t)],"",0)</f>
        <v/>
      </c>
      <c r="Z160" s="81">
        <f>SUM(Mass_Data[[#This Row],[MDL axle group 1 mass]:[MDL axle group 7 mass]])</f>
        <v>62</v>
      </c>
      <c r="AA160">
        <f>Mass_Data[[#This Row],[Total (1)]]-Mass_Data[[#This Row],[GCM (t)]]</f>
        <v>18.5</v>
      </c>
      <c r="AB160" t="str">
        <f>IF(Mass_Data[[#This Row],[Difference between MDL and GCM]]=0,"YES","NO")</f>
        <v>NO</v>
      </c>
      <c r="AC160" s="22">
        <f>IFERROR(IF(Mass_Data[[#This Row],[Check (1)]]="YES",Mass_Data[[#This Row],[MDL axle group 1 mass]],Mass_Data[[#This Row],[MDL axle group 1 mass]]-(Mass_Data[[#This Row],[Difference between MDL and GCM]]*(Mass_Data[[#This Row],[MDL axle group 1 mass]]/Mass_Data[[#This Row],[Total (1)]]))),"")</f>
        <v>7.717741935483871</v>
      </c>
      <c r="AD160" s="22">
        <f>IFERROR(IF(Mass_Data[[#This Row],[Check (1)]]="YES",Mass_Data[[#This Row],[MDL axle group 2 mass]],Mass_Data[[#This Row],[MDL axle group 2 mass]]-(Mass_Data[[#This Row],[Difference between MDL and GCM]]*(Mass_Data[[#This Row],[MDL axle group 2 mass]]/Mass_Data[[#This Row],[Total (1)]]))),"")</f>
        <v>11.92741935483871</v>
      </c>
      <c r="AE160" s="22">
        <f>IFERROR(IF(Mass_Data[[#This Row],[Check (1)]]="YES",Mass_Data[[#This Row],[MDL axle group 3 mass]],Mass_Data[[#This Row],[MDL axle group 3 mass]]-(Mass_Data[[#This Row],[Difference between MDL and GCM]]*(Mass_Data[[#This Row],[MDL axle group 3 mass]]/Mass_Data[[#This Row],[Total (1)]]))),"")</f>
        <v>11.92741935483871</v>
      </c>
      <c r="AF160" s="22">
        <f>IFERROR(IF(Mass_Data[[#This Row],[Check (1)]]="YES",Mass_Data[[#This Row],[MDL axle group 4 mass]],Mass_Data[[#This Row],[MDL axle group 4 mass]]-(Mass_Data[[#This Row],[Difference between MDL and GCM]]*(Mass_Data[[#This Row],[MDL axle group 4 mass]]/Mass_Data[[#This Row],[Total (1)]]))),"")</f>
        <v>11.92741935483871</v>
      </c>
      <c r="AG160" s="22" t="str">
        <f>IFERROR(IF(Mass_Data[[#This Row],[Check (1)]]="YES",Mass_Data[[#This Row],[MDL axle group 5 mass]],Mass_Data[[#This Row],[MDL axle group 5 mass]]-(Mass_Data[[#This Row],[Difference between MDL and GCM]]*(Mass_Data[[#This Row],[MDL axle group 5 mass]]/Mass_Data[[#This Row],[Total (1)]]))),"")</f>
        <v/>
      </c>
      <c r="AH160" s="22" t="str">
        <f>IFERROR(IF(Mass_Data[[#This Row],[Check (1)]]="YES",Mass_Data[[#This Row],[MDL axle group 6 mass]],Mass_Data[[#This Row],[MDL axle group 6 mass]]-(Mass_Data[[#This Row],[Difference between MDL and GCM]]*(Mass_Data[[#This Row],[MDL axle group 6 mass]]/Mass_Data[[#This Row],[Total (1)]]))),"")</f>
        <v/>
      </c>
      <c r="AI160" s="22" t="str">
        <f>IFERROR(IF(Mass_Data[[#This Row],[Check (1)]]="YES",Mass_Data[[#This Row],[MDL axle group 7 mass]],Mass_Data[[#This Row],[MDL axle group 7 mass]]-(Mass_Data[[#This Row],[Difference between MDL and GCM]]*(Mass_Data[[#This Row],[MDL axle group 7 mass]]/Mass_Data[[#This Row],[Total (1)]]))),"")</f>
        <v/>
      </c>
      <c r="AJ160" s="81">
        <f>SUM(Mass_Data[[#This Row],[Corrected axle group 1 mass]:[Corrected axle group 7 mass]])</f>
        <v>43.5</v>
      </c>
      <c r="AK160">
        <f>Mass_Data[[#This Row],[Total (2)]]-Mass_Data[[#This Row],[GCM (t)]]</f>
        <v>0</v>
      </c>
      <c r="AL160" s="22" t="str">
        <f>IF(Mass_Data[[#This Row],[Difference between MDL and corrected axle masses]]=0,"YES","NO")</f>
        <v>YES</v>
      </c>
    </row>
    <row r="161" spans="3:38" x14ac:dyDescent="0.35">
      <c r="C161" s="10" t="str">
        <f t="shared" si="2"/>
        <v>Conventional - 7-Axle B-Double (GML)</v>
      </c>
      <c r="D161" s="10" t="s">
        <v>182</v>
      </c>
      <c r="E161" s="10" t="s">
        <v>220</v>
      </c>
      <c r="F161" s="11" t="s">
        <v>18</v>
      </c>
      <c r="G161" s="11" t="s">
        <v>202</v>
      </c>
      <c r="H161" t="s">
        <v>58</v>
      </c>
      <c r="I161" s="9">
        <v>55.5</v>
      </c>
      <c r="J161" s="14">
        <v>31.759782830224658</v>
      </c>
      <c r="K161" s="14">
        <f>Mass_Data[[#This Row],[GCM (t)]]-Mass_Data[[#This Row],[Payload (t)]]</f>
        <v>23.740217169775342</v>
      </c>
      <c r="L161" t="s">
        <v>8</v>
      </c>
      <c r="M161" t="s">
        <v>9</v>
      </c>
      <c r="N161" t="s">
        <v>30</v>
      </c>
      <c r="O161" t="s">
        <v>30</v>
      </c>
      <c r="P161">
        <v>0</v>
      </c>
      <c r="Q161">
        <v>0</v>
      </c>
      <c r="R161">
        <v>0</v>
      </c>
      <c r="S161" cm="1">
        <f t="array" ref="S161">_xlfn.XLOOKUP(Mass_Data[[#This Row],[axle group 1]]&amp;Mass_Data[[#This Row],[Mass Scheme]],Axle_Data[Axle Code]&amp;Axle_Data[Mass Scheme],Axle_Data[MDL Maximum Mass (t)],"",0)</f>
        <v>6.5</v>
      </c>
      <c r="T161" cm="1">
        <f t="array" ref="T161">_xlfn.XLOOKUP(Mass_Data[[#This Row],[axle group 2]]&amp;Mass_Data[[#This Row],[Mass Scheme]],Axle_Data[Axle Code]&amp;Axle_Data[Mass Scheme],Axle_Data[MDL Maximum Mass (t)],"",0)</f>
        <v>16.5</v>
      </c>
      <c r="U161" cm="1">
        <f t="array" ref="U161">_xlfn.XLOOKUP(Mass_Data[[#This Row],[axle group 3]]&amp;Mass_Data[[#This Row],[Mass Scheme]],Axle_Data[Axle Code]&amp;Axle_Data[Mass Scheme],Axle_Data[MDL Maximum Mass (t)],"",0)</f>
        <v>16.5</v>
      </c>
      <c r="V161" cm="1">
        <f t="array" ref="V161">_xlfn.XLOOKUP(Mass_Data[[#This Row],[axle group 4]]&amp;Mass_Data[[#This Row],[Mass Scheme]],Axle_Data[Axle Code]&amp;Axle_Data[Mass Scheme],Axle_Data[MDL Maximum Mass (t)],"",0)</f>
        <v>16.5</v>
      </c>
      <c r="W161" t="str" cm="1">
        <f t="array" ref="W161">_xlfn.XLOOKUP(Mass_Data[[#This Row],[axle group 5]]&amp;Mass_Data[[#This Row],[Mass Scheme]],Axle_Data[Axle Code]&amp;Axle_Data[Mass Scheme],Axle_Data[MDL Maximum Mass (t)],"",0)</f>
        <v/>
      </c>
      <c r="X161" t="str" cm="1">
        <f t="array" ref="X161">_xlfn.XLOOKUP(Mass_Data[[#This Row],[axle group 6]]&amp;Mass_Data[[#This Row],[Mass Scheme]],Axle_Data[Axle Code]&amp;Axle_Data[Mass Scheme],Axle_Data[MDL Maximum Mass (t)],"",0)</f>
        <v/>
      </c>
      <c r="Y161" t="str" cm="1">
        <f t="array" ref="Y161">_xlfn.XLOOKUP(Mass_Data[[#This Row],[axle group 7]]&amp;Mass_Data[[#This Row],[Mass Scheme]],Axle_Data[Axle Code]&amp;Axle_Data[Mass Scheme],Axle_Data[MDL Maximum Mass (t)],"",0)</f>
        <v/>
      </c>
      <c r="Z161" s="81">
        <f>SUM(Mass_Data[[#This Row],[MDL axle group 1 mass]:[MDL axle group 7 mass]])</f>
        <v>56</v>
      </c>
      <c r="AA161">
        <f>Mass_Data[[#This Row],[Total (1)]]-Mass_Data[[#This Row],[GCM (t)]]</f>
        <v>0.5</v>
      </c>
      <c r="AB161" t="str">
        <f>IF(Mass_Data[[#This Row],[Difference between MDL and GCM]]=0,"YES","NO")</f>
        <v>NO</v>
      </c>
      <c r="AC161" s="22">
        <f>IFERROR(IF(Mass_Data[[#This Row],[Check (1)]]="YES",Mass_Data[[#This Row],[MDL axle group 1 mass]],Mass_Data[[#This Row],[MDL axle group 1 mass]]-(Mass_Data[[#This Row],[Difference between MDL and GCM]]*(Mass_Data[[#This Row],[MDL axle group 1 mass]]/Mass_Data[[#This Row],[Total (1)]]))),"")</f>
        <v>6.4419642857142856</v>
      </c>
      <c r="AD161" s="22">
        <f>IFERROR(IF(Mass_Data[[#This Row],[Check (1)]]="YES",Mass_Data[[#This Row],[MDL axle group 2 mass]],Mass_Data[[#This Row],[MDL axle group 2 mass]]-(Mass_Data[[#This Row],[Difference between MDL and GCM]]*(Mass_Data[[#This Row],[MDL axle group 2 mass]]/Mass_Data[[#This Row],[Total (1)]]))),"")</f>
        <v>16.352678571428573</v>
      </c>
      <c r="AE161" s="22">
        <f>IFERROR(IF(Mass_Data[[#This Row],[Check (1)]]="YES",Mass_Data[[#This Row],[MDL axle group 3 mass]],Mass_Data[[#This Row],[MDL axle group 3 mass]]-(Mass_Data[[#This Row],[Difference between MDL and GCM]]*(Mass_Data[[#This Row],[MDL axle group 3 mass]]/Mass_Data[[#This Row],[Total (1)]]))),"")</f>
        <v>16.352678571428573</v>
      </c>
      <c r="AF161" s="22">
        <f>IFERROR(IF(Mass_Data[[#This Row],[Check (1)]]="YES",Mass_Data[[#This Row],[MDL axle group 4 mass]],Mass_Data[[#This Row],[MDL axle group 4 mass]]-(Mass_Data[[#This Row],[Difference between MDL and GCM]]*(Mass_Data[[#This Row],[MDL axle group 4 mass]]/Mass_Data[[#This Row],[Total (1)]]))),"")</f>
        <v>16.352678571428573</v>
      </c>
      <c r="AG161" s="22" t="str">
        <f>IFERROR(IF(Mass_Data[[#This Row],[Check (1)]]="YES",Mass_Data[[#This Row],[MDL axle group 5 mass]],Mass_Data[[#This Row],[MDL axle group 5 mass]]-(Mass_Data[[#This Row],[Difference between MDL and GCM]]*(Mass_Data[[#This Row],[MDL axle group 5 mass]]/Mass_Data[[#This Row],[Total (1)]]))),"")</f>
        <v/>
      </c>
      <c r="AH161" s="22" t="str">
        <f>IFERROR(IF(Mass_Data[[#This Row],[Check (1)]]="YES",Mass_Data[[#This Row],[MDL axle group 6 mass]],Mass_Data[[#This Row],[MDL axle group 6 mass]]-(Mass_Data[[#This Row],[Difference between MDL and GCM]]*(Mass_Data[[#This Row],[MDL axle group 6 mass]]/Mass_Data[[#This Row],[Total (1)]]))),"")</f>
        <v/>
      </c>
      <c r="AI161" s="22" t="str">
        <f>IFERROR(IF(Mass_Data[[#This Row],[Check (1)]]="YES",Mass_Data[[#This Row],[MDL axle group 7 mass]],Mass_Data[[#This Row],[MDL axle group 7 mass]]-(Mass_Data[[#This Row],[Difference between MDL and GCM]]*(Mass_Data[[#This Row],[MDL axle group 7 mass]]/Mass_Data[[#This Row],[Total (1)]]))),"")</f>
        <v/>
      </c>
      <c r="AJ161" s="81">
        <f>SUM(Mass_Data[[#This Row],[Corrected axle group 1 mass]:[Corrected axle group 7 mass]])</f>
        <v>55.5</v>
      </c>
      <c r="AK161">
        <f>Mass_Data[[#This Row],[Total (2)]]-Mass_Data[[#This Row],[GCM (t)]]</f>
        <v>0</v>
      </c>
      <c r="AL161" s="22" t="str">
        <f>IF(Mass_Data[[#This Row],[Difference between MDL and corrected axle masses]]=0,"YES","NO")</f>
        <v>YES</v>
      </c>
    </row>
    <row r="162" spans="3:38" x14ac:dyDescent="0.35">
      <c r="C162" s="10" t="str">
        <f t="shared" si="2"/>
        <v>Conventional - 7-Axle B-Double (CML)</v>
      </c>
      <c r="D162" s="10" t="s">
        <v>182</v>
      </c>
      <c r="E162" s="10" t="s">
        <v>220</v>
      </c>
      <c r="F162" s="11" t="s">
        <v>20</v>
      </c>
      <c r="G162" s="11" t="s">
        <v>202</v>
      </c>
      <c r="H162" t="s">
        <v>58</v>
      </c>
      <c r="I162" s="9">
        <v>57</v>
      </c>
      <c r="J162" s="14">
        <v>33.259782830224658</v>
      </c>
      <c r="K162" s="14">
        <f>Mass_Data[[#This Row],[GCM (t)]]-Mass_Data[[#This Row],[Payload (t)]]</f>
        <v>23.740217169775342</v>
      </c>
      <c r="L162" t="s">
        <v>8</v>
      </c>
      <c r="M162" t="s">
        <v>9</v>
      </c>
      <c r="N162" t="s">
        <v>30</v>
      </c>
      <c r="O162" t="s">
        <v>30</v>
      </c>
      <c r="P162">
        <v>0</v>
      </c>
      <c r="Q162">
        <v>0</v>
      </c>
      <c r="R162">
        <v>0</v>
      </c>
      <c r="S162" cm="1">
        <f t="array" ref="S162">_xlfn.XLOOKUP(Mass_Data[[#This Row],[axle group 1]]&amp;Mass_Data[[#This Row],[Mass Scheme]],Axle_Data[Axle Code]&amp;Axle_Data[Mass Scheme],Axle_Data[MDL Maximum Mass (t)],"",0)</f>
        <v>6.5</v>
      </c>
      <c r="T162" cm="1">
        <f t="array" ref="T162">_xlfn.XLOOKUP(Mass_Data[[#This Row],[axle group 2]]&amp;Mass_Data[[#This Row],[Mass Scheme]],Axle_Data[Axle Code]&amp;Axle_Data[Mass Scheme],Axle_Data[MDL Maximum Mass (t)],"",0)</f>
        <v>17</v>
      </c>
      <c r="U162" cm="1">
        <f t="array" ref="U162">_xlfn.XLOOKUP(Mass_Data[[#This Row],[axle group 3]]&amp;Mass_Data[[#This Row],[Mass Scheme]],Axle_Data[Axle Code]&amp;Axle_Data[Mass Scheme],Axle_Data[MDL Maximum Mass (t)],"",0)</f>
        <v>17</v>
      </c>
      <c r="V162" cm="1">
        <f t="array" ref="V162">_xlfn.XLOOKUP(Mass_Data[[#This Row],[axle group 4]]&amp;Mass_Data[[#This Row],[Mass Scheme]],Axle_Data[Axle Code]&amp;Axle_Data[Mass Scheme],Axle_Data[MDL Maximum Mass (t)],"",0)</f>
        <v>17</v>
      </c>
      <c r="W162" t="str" cm="1">
        <f t="array" ref="W162">_xlfn.XLOOKUP(Mass_Data[[#This Row],[axle group 5]]&amp;Mass_Data[[#This Row],[Mass Scheme]],Axle_Data[Axle Code]&amp;Axle_Data[Mass Scheme],Axle_Data[MDL Maximum Mass (t)],"",0)</f>
        <v/>
      </c>
      <c r="X162" t="str" cm="1">
        <f t="array" ref="X162">_xlfn.XLOOKUP(Mass_Data[[#This Row],[axle group 6]]&amp;Mass_Data[[#This Row],[Mass Scheme]],Axle_Data[Axle Code]&amp;Axle_Data[Mass Scheme],Axle_Data[MDL Maximum Mass (t)],"",0)</f>
        <v/>
      </c>
      <c r="Y162" t="str" cm="1">
        <f t="array" ref="Y162">_xlfn.XLOOKUP(Mass_Data[[#This Row],[axle group 7]]&amp;Mass_Data[[#This Row],[Mass Scheme]],Axle_Data[Axle Code]&amp;Axle_Data[Mass Scheme],Axle_Data[MDL Maximum Mass (t)],"",0)</f>
        <v/>
      </c>
      <c r="Z162" s="81">
        <f>SUM(Mass_Data[[#This Row],[MDL axle group 1 mass]:[MDL axle group 7 mass]])</f>
        <v>57.5</v>
      </c>
      <c r="AA162">
        <f>Mass_Data[[#This Row],[Total (1)]]-Mass_Data[[#This Row],[GCM (t)]]</f>
        <v>0.5</v>
      </c>
      <c r="AB162" t="str">
        <f>IF(Mass_Data[[#This Row],[Difference between MDL and GCM]]=0,"YES","NO")</f>
        <v>NO</v>
      </c>
      <c r="AC162" s="22">
        <f>IFERROR(IF(Mass_Data[[#This Row],[Check (1)]]="YES",Mass_Data[[#This Row],[MDL axle group 1 mass]],Mass_Data[[#This Row],[MDL axle group 1 mass]]-(Mass_Data[[#This Row],[Difference between MDL and GCM]]*(Mass_Data[[#This Row],[MDL axle group 1 mass]]/Mass_Data[[#This Row],[Total (1)]]))),"")</f>
        <v>6.4434782608695649</v>
      </c>
      <c r="AD162" s="22">
        <f>IFERROR(IF(Mass_Data[[#This Row],[Check (1)]]="YES",Mass_Data[[#This Row],[MDL axle group 2 mass]],Mass_Data[[#This Row],[MDL axle group 2 mass]]-(Mass_Data[[#This Row],[Difference between MDL and GCM]]*(Mass_Data[[#This Row],[MDL axle group 2 mass]]/Mass_Data[[#This Row],[Total (1)]]))),"")</f>
        <v>16.85217391304348</v>
      </c>
      <c r="AE162" s="22">
        <f>IFERROR(IF(Mass_Data[[#This Row],[Check (1)]]="YES",Mass_Data[[#This Row],[MDL axle group 3 mass]],Mass_Data[[#This Row],[MDL axle group 3 mass]]-(Mass_Data[[#This Row],[Difference between MDL and GCM]]*(Mass_Data[[#This Row],[MDL axle group 3 mass]]/Mass_Data[[#This Row],[Total (1)]]))),"")</f>
        <v>16.85217391304348</v>
      </c>
      <c r="AF162" s="22">
        <f>IFERROR(IF(Mass_Data[[#This Row],[Check (1)]]="YES",Mass_Data[[#This Row],[MDL axle group 4 mass]],Mass_Data[[#This Row],[MDL axle group 4 mass]]-(Mass_Data[[#This Row],[Difference between MDL and GCM]]*(Mass_Data[[#This Row],[MDL axle group 4 mass]]/Mass_Data[[#This Row],[Total (1)]]))),"")</f>
        <v>16.85217391304348</v>
      </c>
      <c r="AG162" s="22" t="str">
        <f>IFERROR(IF(Mass_Data[[#This Row],[Check (1)]]="YES",Mass_Data[[#This Row],[MDL axle group 5 mass]],Mass_Data[[#This Row],[MDL axle group 5 mass]]-(Mass_Data[[#This Row],[Difference between MDL and GCM]]*(Mass_Data[[#This Row],[MDL axle group 5 mass]]/Mass_Data[[#This Row],[Total (1)]]))),"")</f>
        <v/>
      </c>
      <c r="AH162" s="22" t="str">
        <f>IFERROR(IF(Mass_Data[[#This Row],[Check (1)]]="YES",Mass_Data[[#This Row],[MDL axle group 6 mass]],Mass_Data[[#This Row],[MDL axle group 6 mass]]-(Mass_Data[[#This Row],[Difference between MDL and GCM]]*(Mass_Data[[#This Row],[MDL axle group 6 mass]]/Mass_Data[[#This Row],[Total (1)]]))),"")</f>
        <v/>
      </c>
      <c r="AI162" s="22" t="str">
        <f>IFERROR(IF(Mass_Data[[#This Row],[Check (1)]]="YES",Mass_Data[[#This Row],[MDL axle group 7 mass]],Mass_Data[[#This Row],[MDL axle group 7 mass]]-(Mass_Data[[#This Row],[Difference between MDL and GCM]]*(Mass_Data[[#This Row],[MDL axle group 7 mass]]/Mass_Data[[#This Row],[Total (1)]]))),"")</f>
        <v/>
      </c>
      <c r="AJ162" s="81">
        <f>SUM(Mass_Data[[#This Row],[Corrected axle group 1 mass]:[Corrected axle group 7 mass]])</f>
        <v>57.000000000000007</v>
      </c>
      <c r="AK162">
        <f>Mass_Data[[#This Row],[Total (2)]]-Mass_Data[[#This Row],[GCM (t)]]</f>
        <v>0</v>
      </c>
      <c r="AL162" s="22" t="str">
        <f>IF(Mass_Data[[#This Row],[Difference between MDL and corrected axle masses]]=0,"YES","NO")</f>
        <v>YES</v>
      </c>
    </row>
    <row r="163" spans="3:38" x14ac:dyDescent="0.35">
      <c r="C163" s="10" t="str">
        <f t="shared" si="2"/>
        <v>Conventional - 7-Axle B-Double (HML)</v>
      </c>
      <c r="D163" s="10" t="s">
        <v>182</v>
      </c>
      <c r="E163" s="10" t="s">
        <v>220</v>
      </c>
      <c r="F163" s="11" t="s">
        <v>7</v>
      </c>
      <c r="G163" s="11" t="s">
        <v>202</v>
      </c>
      <c r="H163" t="s">
        <v>58</v>
      </c>
      <c r="I163" s="9">
        <v>57</v>
      </c>
      <c r="J163" s="14">
        <v>33.259782830224658</v>
      </c>
      <c r="K163" s="14">
        <f>Mass_Data[[#This Row],[GCM (t)]]-Mass_Data[[#This Row],[Payload (t)]]</f>
        <v>23.740217169775342</v>
      </c>
      <c r="L163" t="s">
        <v>8</v>
      </c>
      <c r="M163" t="s">
        <v>9</v>
      </c>
      <c r="N163" t="s">
        <v>30</v>
      </c>
      <c r="O163" t="s">
        <v>30</v>
      </c>
      <c r="P163">
        <v>0</v>
      </c>
      <c r="Q163">
        <v>0</v>
      </c>
      <c r="R163">
        <v>0</v>
      </c>
      <c r="S163" cm="1">
        <f t="array" ref="S163">_xlfn.XLOOKUP(Mass_Data[[#This Row],[axle group 1]]&amp;Mass_Data[[#This Row],[Mass Scheme]],Axle_Data[Axle Code]&amp;Axle_Data[Mass Scheme],Axle_Data[MDL Maximum Mass (t)],"",0)</f>
        <v>6.5</v>
      </c>
      <c r="T163" cm="1">
        <f t="array" ref="T163">_xlfn.XLOOKUP(Mass_Data[[#This Row],[axle group 2]]&amp;Mass_Data[[#This Row],[Mass Scheme]],Axle_Data[Axle Code]&amp;Axle_Data[Mass Scheme],Axle_Data[MDL Maximum Mass (t)],"",0)</f>
        <v>17</v>
      </c>
      <c r="U163" cm="1">
        <f t="array" ref="U163">_xlfn.XLOOKUP(Mass_Data[[#This Row],[axle group 3]]&amp;Mass_Data[[#This Row],[Mass Scheme]],Axle_Data[Axle Code]&amp;Axle_Data[Mass Scheme],Axle_Data[MDL Maximum Mass (t)],"",0)</f>
        <v>17</v>
      </c>
      <c r="V163" cm="1">
        <f t="array" ref="V163">_xlfn.XLOOKUP(Mass_Data[[#This Row],[axle group 4]]&amp;Mass_Data[[#This Row],[Mass Scheme]],Axle_Data[Axle Code]&amp;Axle_Data[Mass Scheme],Axle_Data[MDL Maximum Mass (t)],"",0)</f>
        <v>17</v>
      </c>
      <c r="W163" t="str" cm="1">
        <f t="array" ref="W163">_xlfn.XLOOKUP(Mass_Data[[#This Row],[axle group 5]]&amp;Mass_Data[[#This Row],[Mass Scheme]],Axle_Data[Axle Code]&amp;Axle_Data[Mass Scheme],Axle_Data[MDL Maximum Mass (t)],"",0)</f>
        <v/>
      </c>
      <c r="X163" t="str" cm="1">
        <f t="array" ref="X163">_xlfn.XLOOKUP(Mass_Data[[#This Row],[axle group 6]]&amp;Mass_Data[[#This Row],[Mass Scheme]],Axle_Data[Axle Code]&amp;Axle_Data[Mass Scheme],Axle_Data[MDL Maximum Mass (t)],"",0)</f>
        <v/>
      </c>
      <c r="Y163" t="str" cm="1">
        <f t="array" ref="Y163">_xlfn.XLOOKUP(Mass_Data[[#This Row],[axle group 7]]&amp;Mass_Data[[#This Row],[Mass Scheme]],Axle_Data[Axle Code]&amp;Axle_Data[Mass Scheme],Axle_Data[MDL Maximum Mass (t)],"",0)</f>
        <v/>
      </c>
      <c r="Z163" s="81">
        <f>SUM(Mass_Data[[#This Row],[MDL axle group 1 mass]:[MDL axle group 7 mass]])</f>
        <v>57.5</v>
      </c>
      <c r="AA163">
        <f>Mass_Data[[#This Row],[Total (1)]]-Mass_Data[[#This Row],[GCM (t)]]</f>
        <v>0.5</v>
      </c>
      <c r="AB163" t="str">
        <f>IF(Mass_Data[[#This Row],[Difference between MDL and GCM]]=0,"YES","NO")</f>
        <v>NO</v>
      </c>
      <c r="AC163" s="22">
        <f>IFERROR(IF(Mass_Data[[#This Row],[Check (1)]]="YES",Mass_Data[[#This Row],[MDL axle group 1 mass]],Mass_Data[[#This Row],[MDL axle group 1 mass]]-(Mass_Data[[#This Row],[Difference between MDL and GCM]]*(Mass_Data[[#This Row],[MDL axle group 1 mass]]/Mass_Data[[#This Row],[Total (1)]]))),"")</f>
        <v>6.4434782608695649</v>
      </c>
      <c r="AD163" s="22">
        <f>IFERROR(IF(Mass_Data[[#This Row],[Check (1)]]="YES",Mass_Data[[#This Row],[MDL axle group 2 mass]],Mass_Data[[#This Row],[MDL axle group 2 mass]]-(Mass_Data[[#This Row],[Difference between MDL and GCM]]*(Mass_Data[[#This Row],[MDL axle group 2 mass]]/Mass_Data[[#This Row],[Total (1)]]))),"")</f>
        <v>16.85217391304348</v>
      </c>
      <c r="AE163" s="22">
        <f>IFERROR(IF(Mass_Data[[#This Row],[Check (1)]]="YES",Mass_Data[[#This Row],[MDL axle group 3 mass]],Mass_Data[[#This Row],[MDL axle group 3 mass]]-(Mass_Data[[#This Row],[Difference between MDL and GCM]]*(Mass_Data[[#This Row],[MDL axle group 3 mass]]/Mass_Data[[#This Row],[Total (1)]]))),"")</f>
        <v>16.85217391304348</v>
      </c>
      <c r="AF163" s="22">
        <f>IFERROR(IF(Mass_Data[[#This Row],[Check (1)]]="YES",Mass_Data[[#This Row],[MDL axle group 4 mass]],Mass_Data[[#This Row],[MDL axle group 4 mass]]-(Mass_Data[[#This Row],[Difference between MDL and GCM]]*(Mass_Data[[#This Row],[MDL axle group 4 mass]]/Mass_Data[[#This Row],[Total (1)]]))),"")</f>
        <v>16.85217391304348</v>
      </c>
      <c r="AG163" s="22" t="str">
        <f>IFERROR(IF(Mass_Data[[#This Row],[Check (1)]]="YES",Mass_Data[[#This Row],[MDL axle group 5 mass]],Mass_Data[[#This Row],[MDL axle group 5 mass]]-(Mass_Data[[#This Row],[Difference between MDL and GCM]]*(Mass_Data[[#This Row],[MDL axle group 5 mass]]/Mass_Data[[#This Row],[Total (1)]]))),"")</f>
        <v/>
      </c>
      <c r="AH163" s="22" t="str">
        <f>IFERROR(IF(Mass_Data[[#This Row],[Check (1)]]="YES",Mass_Data[[#This Row],[MDL axle group 6 mass]],Mass_Data[[#This Row],[MDL axle group 6 mass]]-(Mass_Data[[#This Row],[Difference between MDL and GCM]]*(Mass_Data[[#This Row],[MDL axle group 6 mass]]/Mass_Data[[#This Row],[Total (1)]]))),"")</f>
        <v/>
      </c>
      <c r="AI163" s="22" t="str">
        <f>IFERROR(IF(Mass_Data[[#This Row],[Check (1)]]="YES",Mass_Data[[#This Row],[MDL axle group 7 mass]],Mass_Data[[#This Row],[MDL axle group 7 mass]]-(Mass_Data[[#This Row],[Difference between MDL and GCM]]*(Mass_Data[[#This Row],[MDL axle group 7 mass]]/Mass_Data[[#This Row],[Total (1)]]))),"")</f>
        <v/>
      </c>
      <c r="AJ163" s="81">
        <f>SUM(Mass_Data[[#This Row],[Corrected axle group 1 mass]:[Corrected axle group 7 mass]])</f>
        <v>57.000000000000007</v>
      </c>
      <c r="AK163">
        <f>Mass_Data[[#This Row],[Total (2)]]-Mass_Data[[#This Row],[GCM (t)]]</f>
        <v>0</v>
      </c>
      <c r="AL163" s="22" t="str">
        <f>IF(Mass_Data[[#This Row],[Difference between MDL and corrected axle masses]]=0,"YES","NO")</f>
        <v>YES</v>
      </c>
    </row>
    <row r="164" spans="3:38" x14ac:dyDescent="0.35">
      <c r="C164" s="10" t="str">
        <f t="shared" si="2"/>
        <v>Conventional - 8-Axle B-Double (GML)</v>
      </c>
      <c r="D164" s="10" t="s">
        <v>180</v>
      </c>
      <c r="E164" s="10" t="s">
        <v>220</v>
      </c>
      <c r="F164" s="12" t="s">
        <v>18</v>
      </c>
      <c r="G164" s="11" t="s">
        <v>202</v>
      </c>
      <c r="H164" t="s">
        <v>126</v>
      </c>
      <c r="I164" s="9">
        <v>59</v>
      </c>
      <c r="J164" s="14">
        <v>33.799693075055863</v>
      </c>
      <c r="K164" s="14">
        <f>Mass_Data[[#This Row],[GCM (t)]]-Mass_Data[[#This Row],[Payload (t)]]</f>
        <v>25.200306924944137</v>
      </c>
      <c r="L164" t="s">
        <v>8</v>
      </c>
      <c r="M164" t="s">
        <v>9</v>
      </c>
      <c r="N164" t="s">
        <v>10</v>
      </c>
      <c r="O164" t="s">
        <v>30</v>
      </c>
      <c r="P164">
        <v>0</v>
      </c>
      <c r="Q164">
        <v>0</v>
      </c>
      <c r="R164">
        <v>0</v>
      </c>
      <c r="S164" cm="1">
        <f t="array" ref="S164">_xlfn.XLOOKUP(Mass_Data[[#This Row],[axle group 1]]&amp;Mass_Data[[#This Row],[Mass Scheme]],Axle_Data[Axle Code]&amp;Axle_Data[Mass Scheme],Axle_Data[MDL Maximum Mass (t)],"",0)</f>
        <v>6.5</v>
      </c>
      <c r="T164" cm="1">
        <f t="array" ref="T164">_xlfn.XLOOKUP(Mass_Data[[#This Row],[axle group 2]]&amp;Mass_Data[[#This Row],[Mass Scheme]],Axle_Data[Axle Code]&amp;Axle_Data[Mass Scheme],Axle_Data[MDL Maximum Mass (t)],"",0)</f>
        <v>16.5</v>
      </c>
      <c r="U164" cm="1">
        <f t="array" ref="U164">_xlfn.XLOOKUP(Mass_Data[[#This Row],[axle group 3]]&amp;Mass_Data[[#This Row],[Mass Scheme]],Axle_Data[Axle Code]&amp;Axle_Data[Mass Scheme],Axle_Data[MDL Maximum Mass (t)],"",0)</f>
        <v>20</v>
      </c>
      <c r="V164" cm="1">
        <f t="array" ref="V164">_xlfn.XLOOKUP(Mass_Data[[#This Row],[axle group 4]]&amp;Mass_Data[[#This Row],[Mass Scheme]],Axle_Data[Axle Code]&amp;Axle_Data[Mass Scheme],Axle_Data[MDL Maximum Mass (t)],"",0)</f>
        <v>16.5</v>
      </c>
      <c r="W164" t="str" cm="1">
        <f t="array" ref="W164">_xlfn.XLOOKUP(Mass_Data[[#This Row],[axle group 5]]&amp;Mass_Data[[#This Row],[Mass Scheme]],Axle_Data[Axle Code]&amp;Axle_Data[Mass Scheme],Axle_Data[MDL Maximum Mass (t)],"",0)</f>
        <v/>
      </c>
      <c r="X164" t="str" cm="1">
        <f t="array" ref="X164">_xlfn.XLOOKUP(Mass_Data[[#This Row],[axle group 6]]&amp;Mass_Data[[#This Row],[Mass Scheme]],Axle_Data[Axle Code]&amp;Axle_Data[Mass Scheme],Axle_Data[MDL Maximum Mass (t)],"",0)</f>
        <v/>
      </c>
      <c r="Y164" t="str" cm="1">
        <f t="array" ref="Y164">_xlfn.XLOOKUP(Mass_Data[[#This Row],[axle group 7]]&amp;Mass_Data[[#This Row],[Mass Scheme]],Axle_Data[Axle Code]&amp;Axle_Data[Mass Scheme],Axle_Data[MDL Maximum Mass (t)],"",0)</f>
        <v/>
      </c>
      <c r="Z164" s="81">
        <f>SUM(Mass_Data[[#This Row],[MDL axle group 1 mass]:[MDL axle group 7 mass]])</f>
        <v>59.5</v>
      </c>
      <c r="AA164">
        <f>Mass_Data[[#This Row],[Total (1)]]-Mass_Data[[#This Row],[GCM (t)]]</f>
        <v>0.5</v>
      </c>
      <c r="AB164" t="str">
        <f>IF(Mass_Data[[#This Row],[Difference between MDL and GCM]]=0,"YES","NO")</f>
        <v>NO</v>
      </c>
      <c r="AC164" s="22">
        <f>IFERROR(IF(Mass_Data[[#This Row],[Check (1)]]="YES",Mass_Data[[#This Row],[MDL axle group 1 mass]],Mass_Data[[#This Row],[MDL axle group 1 mass]]-(Mass_Data[[#This Row],[Difference between MDL and GCM]]*(Mass_Data[[#This Row],[MDL axle group 1 mass]]/Mass_Data[[#This Row],[Total (1)]]))),"")</f>
        <v>6.4453781512605044</v>
      </c>
      <c r="AD164" s="22">
        <f>IFERROR(IF(Mass_Data[[#This Row],[Check (1)]]="YES",Mass_Data[[#This Row],[MDL axle group 2 mass]],Mass_Data[[#This Row],[MDL axle group 2 mass]]-(Mass_Data[[#This Row],[Difference between MDL and GCM]]*(Mass_Data[[#This Row],[MDL axle group 2 mass]]/Mass_Data[[#This Row],[Total (1)]]))),"")</f>
        <v>16.361344537815125</v>
      </c>
      <c r="AE164" s="22">
        <f>IFERROR(IF(Mass_Data[[#This Row],[Check (1)]]="YES",Mass_Data[[#This Row],[MDL axle group 3 mass]],Mass_Data[[#This Row],[MDL axle group 3 mass]]-(Mass_Data[[#This Row],[Difference between MDL and GCM]]*(Mass_Data[[#This Row],[MDL axle group 3 mass]]/Mass_Data[[#This Row],[Total (1)]]))),"")</f>
        <v>19.831932773109244</v>
      </c>
      <c r="AF164" s="22">
        <f>IFERROR(IF(Mass_Data[[#This Row],[Check (1)]]="YES",Mass_Data[[#This Row],[MDL axle group 4 mass]],Mass_Data[[#This Row],[MDL axle group 4 mass]]-(Mass_Data[[#This Row],[Difference between MDL and GCM]]*(Mass_Data[[#This Row],[MDL axle group 4 mass]]/Mass_Data[[#This Row],[Total (1)]]))),"")</f>
        <v>16.361344537815125</v>
      </c>
      <c r="AG164" s="22" t="str">
        <f>IFERROR(IF(Mass_Data[[#This Row],[Check (1)]]="YES",Mass_Data[[#This Row],[MDL axle group 5 mass]],Mass_Data[[#This Row],[MDL axle group 5 mass]]-(Mass_Data[[#This Row],[Difference between MDL and GCM]]*(Mass_Data[[#This Row],[MDL axle group 5 mass]]/Mass_Data[[#This Row],[Total (1)]]))),"")</f>
        <v/>
      </c>
      <c r="AH164" s="22" t="str">
        <f>IFERROR(IF(Mass_Data[[#This Row],[Check (1)]]="YES",Mass_Data[[#This Row],[MDL axle group 6 mass]],Mass_Data[[#This Row],[MDL axle group 6 mass]]-(Mass_Data[[#This Row],[Difference between MDL and GCM]]*(Mass_Data[[#This Row],[MDL axle group 6 mass]]/Mass_Data[[#This Row],[Total (1)]]))),"")</f>
        <v/>
      </c>
      <c r="AI164" s="22" t="str">
        <f>IFERROR(IF(Mass_Data[[#This Row],[Check (1)]]="YES",Mass_Data[[#This Row],[MDL axle group 7 mass]],Mass_Data[[#This Row],[MDL axle group 7 mass]]-(Mass_Data[[#This Row],[Difference between MDL and GCM]]*(Mass_Data[[#This Row],[MDL axle group 7 mass]]/Mass_Data[[#This Row],[Total (1)]]))),"")</f>
        <v/>
      </c>
      <c r="AJ164" s="81">
        <f>SUM(Mass_Data[[#This Row],[Corrected axle group 1 mass]:[Corrected axle group 7 mass]])</f>
        <v>59</v>
      </c>
      <c r="AK164">
        <f>Mass_Data[[#This Row],[Total (2)]]-Mass_Data[[#This Row],[GCM (t)]]</f>
        <v>0</v>
      </c>
      <c r="AL164" s="22" t="str">
        <f>IF(Mass_Data[[#This Row],[Difference between MDL and corrected axle masses]]=0,"YES","NO")</f>
        <v>YES</v>
      </c>
    </row>
    <row r="165" spans="3:38" x14ac:dyDescent="0.35">
      <c r="C165" s="10" t="str">
        <f t="shared" si="2"/>
        <v>Conventional - 8-Axle B-Double (CML)</v>
      </c>
      <c r="D165" s="10" t="s">
        <v>180</v>
      </c>
      <c r="E165" s="10" t="s">
        <v>220</v>
      </c>
      <c r="F165" s="12" t="s">
        <v>20</v>
      </c>
      <c r="G165" s="11" t="s">
        <v>202</v>
      </c>
      <c r="H165" t="s">
        <v>126</v>
      </c>
      <c r="I165" s="9">
        <v>61</v>
      </c>
      <c r="J165" s="14">
        <v>35.799693075055863</v>
      </c>
      <c r="K165" s="14">
        <f>Mass_Data[[#This Row],[GCM (t)]]-Mass_Data[[#This Row],[Payload (t)]]</f>
        <v>25.200306924944137</v>
      </c>
      <c r="L165" t="s">
        <v>8</v>
      </c>
      <c r="M165" t="s">
        <v>9</v>
      </c>
      <c r="N165" t="s">
        <v>10</v>
      </c>
      <c r="O165" t="s">
        <v>30</v>
      </c>
      <c r="P165">
        <v>0</v>
      </c>
      <c r="Q165">
        <v>0</v>
      </c>
      <c r="R165">
        <v>0</v>
      </c>
      <c r="S165" cm="1">
        <f t="array" ref="S165">_xlfn.XLOOKUP(Mass_Data[[#This Row],[axle group 1]]&amp;Mass_Data[[#This Row],[Mass Scheme]],Axle_Data[Axle Code]&amp;Axle_Data[Mass Scheme],Axle_Data[MDL Maximum Mass (t)],"",0)</f>
        <v>6.5</v>
      </c>
      <c r="T165" cm="1">
        <f t="array" ref="T165">_xlfn.XLOOKUP(Mass_Data[[#This Row],[axle group 2]]&amp;Mass_Data[[#This Row],[Mass Scheme]],Axle_Data[Axle Code]&amp;Axle_Data[Mass Scheme],Axle_Data[MDL Maximum Mass (t)],"",0)</f>
        <v>17</v>
      </c>
      <c r="U165" cm="1">
        <f t="array" ref="U165">_xlfn.XLOOKUP(Mass_Data[[#This Row],[axle group 3]]&amp;Mass_Data[[#This Row],[Mass Scheme]],Axle_Data[Axle Code]&amp;Axle_Data[Mass Scheme],Axle_Data[MDL Maximum Mass (t)],"",0)</f>
        <v>21</v>
      </c>
      <c r="V165" cm="1">
        <f t="array" ref="V165">_xlfn.XLOOKUP(Mass_Data[[#This Row],[axle group 4]]&amp;Mass_Data[[#This Row],[Mass Scheme]],Axle_Data[Axle Code]&amp;Axle_Data[Mass Scheme],Axle_Data[MDL Maximum Mass (t)],"",0)</f>
        <v>17</v>
      </c>
      <c r="W165" t="str" cm="1">
        <f t="array" ref="W165">_xlfn.XLOOKUP(Mass_Data[[#This Row],[axle group 5]]&amp;Mass_Data[[#This Row],[Mass Scheme]],Axle_Data[Axle Code]&amp;Axle_Data[Mass Scheme],Axle_Data[MDL Maximum Mass (t)],"",0)</f>
        <v/>
      </c>
      <c r="X165" t="str" cm="1">
        <f t="array" ref="X165">_xlfn.XLOOKUP(Mass_Data[[#This Row],[axle group 6]]&amp;Mass_Data[[#This Row],[Mass Scheme]],Axle_Data[Axle Code]&amp;Axle_Data[Mass Scheme],Axle_Data[MDL Maximum Mass (t)],"",0)</f>
        <v/>
      </c>
      <c r="Y165" t="str" cm="1">
        <f t="array" ref="Y165">_xlfn.XLOOKUP(Mass_Data[[#This Row],[axle group 7]]&amp;Mass_Data[[#This Row],[Mass Scheme]],Axle_Data[Axle Code]&amp;Axle_Data[Mass Scheme],Axle_Data[MDL Maximum Mass (t)],"",0)</f>
        <v/>
      </c>
      <c r="Z165" s="81">
        <f>SUM(Mass_Data[[#This Row],[MDL axle group 1 mass]:[MDL axle group 7 mass]])</f>
        <v>61.5</v>
      </c>
      <c r="AA165">
        <f>Mass_Data[[#This Row],[Total (1)]]-Mass_Data[[#This Row],[GCM (t)]]</f>
        <v>0.5</v>
      </c>
      <c r="AB165" t="str">
        <f>IF(Mass_Data[[#This Row],[Difference between MDL and GCM]]=0,"YES","NO")</f>
        <v>NO</v>
      </c>
      <c r="AC165" s="22">
        <f>IFERROR(IF(Mass_Data[[#This Row],[Check (1)]]="YES",Mass_Data[[#This Row],[MDL axle group 1 mass]],Mass_Data[[#This Row],[MDL axle group 1 mass]]-(Mass_Data[[#This Row],[Difference between MDL and GCM]]*(Mass_Data[[#This Row],[MDL axle group 1 mass]]/Mass_Data[[#This Row],[Total (1)]]))),"")</f>
        <v>6.4471544715447155</v>
      </c>
      <c r="AD165" s="22">
        <f>IFERROR(IF(Mass_Data[[#This Row],[Check (1)]]="YES",Mass_Data[[#This Row],[MDL axle group 2 mass]],Mass_Data[[#This Row],[MDL axle group 2 mass]]-(Mass_Data[[#This Row],[Difference between MDL and GCM]]*(Mass_Data[[#This Row],[MDL axle group 2 mass]]/Mass_Data[[#This Row],[Total (1)]]))),"")</f>
        <v>16.86178861788618</v>
      </c>
      <c r="AE165" s="22">
        <f>IFERROR(IF(Mass_Data[[#This Row],[Check (1)]]="YES",Mass_Data[[#This Row],[MDL axle group 3 mass]],Mass_Data[[#This Row],[MDL axle group 3 mass]]-(Mass_Data[[#This Row],[Difference between MDL and GCM]]*(Mass_Data[[#This Row],[MDL axle group 3 mass]]/Mass_Data[[#This Row],[Total (1)]]))),"")</f>
        <v>20.829268292682926</v>
      </c>
      <c r="AF165" s="22">
        <f>IFERROR(IF(Mass_Data[[#This Row],[Check (1)]]="YES",Mass_Data[[#This Row],[MDL axle group 4 mass]],Mass_Data[[#This Row],[MDL axle group 4 mass]]-(Mass_Data[[#This Row],[Difference between MDL and GCM]]*(Mass_Data[[#This Row],[MDL axle group 4 mass]]/Mass_Data[[#This Row],[Total (1)]]))),"")</f>
        <v>16.86178861788618</v>
      </c>
      <c r="AG165" s="22" t="str">
        <f>IFERROR(IF(Mass_Data[[#This Row],[Check (1)]]="YES",Mass_Data[[#This Row],[MDL axle group 5 mass]],Mass_Data[[#This Row],[MDL axle group 5 mass]]-(Mass_Data[[#This Row],[Difference between MDL and GCM]]*(Mass_Data[[#This Row],[MDL axle group 5 mass]]/Mass_Data[[#This Row],[Total (1)]]))),"")</f>
        <v/>
      </c>
      <c r="AH165" s="22" t="str">
        <f>IFERROR(IF(Mass_Data[[#This Row],[Check (1)]]="YES",Mass_Data[[#This Row],[MDL axle group 6 mass]],Mass_Data[[#This Row],[MDL axle group 6 mass]]-(Mass_Data[[#This Row],[Difference between MDL and GCM]]*(Mass_Data[[#This Row],[MDL axle group 6 mass]]/Mass_Data[[#This Row],[Total (1)]]))),"")</f>
        <v/>
      </c>
      <c r="AI165" s="22" t="str">
        <f>IFERROR(IF(Mass_Data[[#This Row],[Check (1)]]="YES",Mass_Data[[#This Row],[MDL axle group 7 mass]],Mass_Data[[#This Row],[MDL axle group 7 mass]]-(Mass_Data[[#This Row],[Difference between MDL and GCM]]*(Mass_Data[[#This Row],[MDL axle group 7 mass]]/Mass_Data[[#This Row],[Total (1)]]))),"")</f>
        <v/>
      </c>
      <c r="AJ165" s="81">
        <f>SUM(Mass_Data[[#This Row],[Corrected axle group 1 mass]:[Corrected axle group 7 mass]])</f>
        <v>61</v>
      </c>
      <c r="AK165">
        <f>Mass_Data[[#This Row],[Total (2)]]-Mass_Data[[#This Row],[GCM (t)]]</f>
        <v>0</v>
      </c>
      <c r="AL165" s="22" t="str">
        <f>IF(Mass_Data[[#This Row],[Difference between MDL and corrected axle masses]]=0,"YES","NO")</f>
        <v>YES</v>
      </c>
    </row>
    <row r="166" spans="3:38" x14ac:dyDescent="0.35">
      <c r="C166" s="10" t="str">
        <f t="shared" si="2"/>
        <v>Conventional - 8-Axle B-Double (HML)</v>
      </c>
      <c r="D166" s="10" t="s">
        <v>180</v>
      </c>
      <c r="E166" s="10" t="s">
        <v>220</v>
      </c>
      <c r="F166" s="12" t="s">
        <v>7</v>
      </c>
      <c r="G166" s="11" t="s">
        <v>202</v>
      </c>
      <c r="H166" t="s">
        <v>126</v>
      </c>
      <c r="I166" s="9">
        <v>62.5</v>
      </c>
      <c r="J166" s="14">
        <v>37.299693075055863</v>
      </c>
      <c r="K166" s="14">
        <f>Mass_Data[[#This Row],[GCM (t)]]-Mass_Data[[#This Row],[Payload (t)]]</f>
        <v>25.200306924944137</v>
      </c>
      <c r="L166" t="s">
        <v>8</v>
      </c>
      <c r="M166" t="s">
        <v>9</v>
      </c>
      <c r="N166" t="s">
        <v>10</v>
      </c>
      <c r="O166" t="s">
        <v>30</v>
      </c>
      <c r="P166">
        <v>0</v>
      </c>
      <c r="Q166">
        <v>0</v>
      </c>
      <c r="R166">
        <v>0</v>
      </c>
      <c r="S166" cm="1">
        <f t="array" ref="S166">_xlfn.XLOOKUP(Mass_Data[[#This Row],[axle group 1]]&amp;Mass_Data[[#This Row],[Mass Scheme]],Axle_Data[Axle Code]&amp;Axle_Data[Mass Scheme],Axle_Data[MDL Maximum Mass (t)],"",0)</f>
        <v>6.5</v>
      </c>
      <c r="T166" cm="1">
        <f t="array" ref="T166">_xlfn.XLOOKUP(Mass_Data[[#This Row],[axle group 2]]&amp;Mass_Data[[#This Row],[Mass Scheme]],Axle_Data[Axle Code]&amp;Axle_Data[Mass Scheme],Axle_Data[MDL Maximum Mass (t)],"",0)</f>
        <v>17</v>
      </c>
      <c r="U166" cm="1">
        <f t="array" ref="U166">_xlfn.XLOOKUP(Mass_Data[[#This Row],[axle group 3]]&amp;Mass_Data[[#This Row],[Mass Scheme]],Axle_Data[Axle Code]&amp;Axle_Data[Mass Scheme],Axle_Data[MDL Maximum Mass (t)],"",0)</f>
        <v>22.5</v>
      </c>
      <c r="V166" cm="1">
        <f t="array" ref="V166">_xlfn.XLOOKUP(Mass_Data[[#This Row],[axle group 4]]&amp;Mass_Data[[#This Row],[Mass Scheme]],Axle_Data[Axle Code]&amp;Axle_Data[Mass Scheme],Axle_Data[MDL Maximum Mass (t)],"",0)</f>
        <v>17</v>
      </c>
      <c r="W166" t="str" cm="1">
        <f t="array" ref="W166">_xlfn.XLOOKUP(Mass_Data[[#This Row],[axle group 5]]&amp;Mass_Data[[#This Row],[Mass Scheme]],Axle_Data[Axle Code]&amp;Axle_Data[Mass Scheme],Axle_Data[MDL Maximum Mass (t)],"",0)</f>
        <v/>
      </c>
      <c r="X166" t="str" cm="1">
        <f t="array" ref="X166">_xlfn.XLOOKUP(Mass_Data[[#This Row],[axle group 6]]&amp;Mass_Data[[#This Row],[Mass Scheme]],Axle_Data[Axle Code]&amp;Axle_Data[Mass Scheme],Axle_Data[MDL Maximum Mass (t)],"",0)</f>
        <v/>
      </c>
      <c r="Y166" t="str" cm="1">
        <f t="array" ref="Y166">_xlfn.XLOOKUP(Mass_Data[[#This Row],[axle group 7]]&amp;Mass_Data[[#This Row],[Mass Scheme]],Axle_Data[Axle Code]&amp;Axle_Data[Mass Scheme],Axle_Data[MDL Maximum Mass (t)],"",0)</f>
        <v/>
      </c>
      <c r="Z166" s="81">
        <f>SUM(Mass_Data[[#This Row],[MDL axle group 1 mass]:[MDL axle group 7 mass]])</f>
        <v>63</v>
      </c>
      <c r="AA166">
        <f>Mass_Data[[#This Row],[Total (1)]]-Mass_Data[[#This Row],[GCM (t)]]</f>
        <v>0.5</v>
      </c>
      <c r="AB166" t="str">
        <f>IF(Mass_Data[[#This Row],[Difference between MDL and GCM]]=0,"YES","NO")</f>
        <v>NO</v>
      </c>
      <c r="AC166" s="22">
        <f>IFERROR(IF(Mass_Data[[#This Row],[Check (1)]]="YES",Mass_Data[[#This Row],[MDL axle group 1 mass]],Mass_Data[[#This Row],[MDL axle group 1 mass]]-(Mass_Data[[#This Row],[Difference between MDL and GCM]]*(Mass_Data[[#This Row],[MDL axle group 1 mass]]/Mass_Data[[#This Row],[Total (1)]]))),"")</f>
        <v>6.4484126984126986</v>
      </c>
      <c r="AD166" s="22">
        <f>IFERROR(IF(Mass_Data[[#This Row],[Check (1)]]="YES",Mass_Data[[#This Row],[MDL axle group 2 mass]],Mass_Data[[#This Row],[MDL axle group 2 mass]]-(Mass_Data[[#This Row],[Difference between MDL and GCM]]*(Mass_Data[[#This Row],[MDL axle group 2 mass]]/Mass_Data[[#This Row],[Total (1)]]))),"")</f>
        <v>16.865079365079364</v>
      </c>
      <c r="AE166" s="22">
        <f>IFERROR(IF(Mass_Data[[#This Row],[Check (1)]]="YES",Mass_Data[[#This Row],[MDL axle group 3 mass]],Mass_Data[[#This Row],[MDL axle group 3 mass]]-(Mass_Data[[#This Row],[Difference between MDL and GCM]]*(Mass_Data[[#This Row],[MDL axle group 3 mass]]/Mass_Data[[#This Row],[Total (1)]]))),"")</f>
        <v>22.321428571428573</v>
      </c>
      <c r="AF166" s="22">
        <f>IFERROR(IF(Mass_Data[[#This Row],[Check (1)]]="YES",Mass_Data[[#This Row],[MDL axle group 4 mass]],Mass_Data[[#This Row],[MDL axle group 4 mass]]-(Mass_Data[[#This Row],[Difference between MDL and GCM]]*(Mass_Data[[#This Row],[MDL axle group 4 mass]]/Mass_Data[[#This Row],[Total (1)]]))),"")</f>
        <v>16.865079365079364</v>
      </c>
      <c r="AG166" s="22" t="str">
        <f>IFERROR(IF(Mass_Data[[#This Row],[Check (1)]]="YES",Mass_Data[[#This Row],[MDL axle group 5 mass]],Mass_Data[[#This Row],[MDL axle group 5 mass]]-(Mass_Data[[#This Row],[Difference between MDL and GCM]]*(Mass_Data[[#This Row],[MDL axle group 5 mass]]/Mass_Data[[#This Row],[Total (1)]]))),"")</f>
        <v/>
      </c>
      <c r="AH166" s="22" t="str">
        <f>IFERROR(IF(Mass_Data[[#This Row],[Check (1)]]="YES",Mass_Data[[#This Row],[MDL axle group 6 mass]],Mass_Data[[#This Row],[MDL axle group 6 mass]]-(Mass_Data[[#This Row],[Difference between MDL and GCM]]*(Mass_Data[[#This Row],[MDL axle group 6 mass]]/Mass_Data[[#This Row],[Total (1)]]))),"")</f>
        <v/>
      </c>
      <c r="AI166" s="22" t="str">
        <f>IFERROR(IF(Mass_Data[[#This Row],[Check (1)]]="YES",Mass_Data[[#This Row],[MDL axle group 7 mass]],Mass_Data[[#This Row],[MDL axle group 7 mass]]-(Mass_Data[[#This Row],[Difference between MDL and GCM]]*(Mass_Data[[#This Row],[MDL axle group 7 mass]]/Mass_Data[[#This Row],[Total (1)]]))),"")</f>
        <v/>
      </c>
      <c r="AJ166" s="81">
        <f>SUM(Mass_Data[[#This Row],[Corrected axle group 1 mass]:[Corrected axle group 7 mass]])</f>
        <v>62.5</v>
      </c>
      <c r="AK166">
        <f>Mass_Data[[#This Row],[Total (2)]]-Mass_Data[[#This Row],[GCM (t)]]</f>
        <v>0</v>
      </c>
      <c r="AL166" s="22" t="str">
        <f>IF(Mass_Data[[#This Row],[Difference between MDL and corrected axle masses]]=0,"YES","NO")</f>
        <v>YES</v>
      </c>
    </row>
    <row r="167" spans="3:38" x14ac:dyDescent="0.35">
      <c r="C167" s="10" t="str">
        <f t="shared" si="2"/>
        <v>Conventional - 8-Axle B-Double (GML)</v>
      </c>
      <c r="D167" s="10" t="s">
        <v>180</v>
      </c>
      <c r="E167" s="10" t="s">
        <v>220</v>
      </c>
      <c r="F167" s="12" t="s">
        <v>18</v>
      </c>
      <c r="G167" s="11" t="s">
        <v>202</v>
      </c>
      <c r="H167" t="s">
        <v>139</v>
      </c>
      <c r="I167" s="9">
        <v>59</v>
      </c>
      <c r="J167" s="14">
        <v>35.24102674819482</v>
      </c>
      <c r="K167" s="14">
        <f>Mass_Data[[#This Row],[GCM (t)]]-Mass_Data[[#This Row],[Payload (t)]]</f>
        <v>23.75897325180518</v>
      </c>
      <c r="L167" t="s">
        <v>8</v>
      </c>
      <c r="M167" t="s">
        <v>9</v>
      </c>
      <c r="N167" t="s">
        <v>30</v>
      </c>
      <c r="O167" t="s">
        <v>10</v>
      </c>
      <c r="P167">
        <v>0</v>
      </c>
      <c r="Q167">
        <v>0</v>
      </c>
      <c r="R167">
        <v>0</v>
      </c>
      <c r="S167" cm="1">
        <f t="array" ref="S167">_xlfn.XLOOKUP(Mass_Data[[#This Row],[axle group 1]]&amp;Mass_Data[[#This Row],[Mass Scheme]],Axle_Data[Axle Code]&amp;Axle_Data[Mass Scheme],Axle_Data[MDL Maximum Mass (t)],"",0)</f>
        <v>6.5</v>
      </c>
      <c r="T167" cm="1">
        <f t="array" ref="T167">_xlfn.XLOOKUP(Mass_Data[[#This Row],[axle group 2]]&amp;Mass_Data[[#This Row],[Mass Scheme]],Axle_Data[Axle Code]&amp;Axle_Data[Mass Scheme],Axle_Data[MDL Maximum Mass (t)],"",0)</f>
        <v>16.5</v>
      </c>
      <c r="U167" cm="1">
        <f t="array" ref="U167">_xlfn.XLOOKUP(Mass_Data[[#This Row],[axle group 3]]&amp;Mass_Data[[#This Row],[Mass Scheme]],Axle_Data[Axle Code]&amp;Axle_Data[Mass Scheme],Axle_Data[MDL Maximum Mass (t)],"",0)</f>
        <v>16.5</v>
      </c>
      <c r="V167" cm="1">
        <f t="array" ref="V167">_xlfn.XLOOKUP(Mass_Data[[#This Row],[axle group 4]]&amp;Mass_Data[[#This Row],[Mass Scheme]],Axle_Data[Axle Code]&amp;Axle_Data[Mass Scheme],Axle_Data[MDL Maximum Mass (t)],"",0)</f>
        <v>20</v>
      </c>
      <c r="W167" t="str" cm="1">
        <f t="array" ref="W167">_xlfn.XLOOKUP(Mass_Data[[#This Row],[axle group 5]]&amp;Mass_Data[[#This Row],[Mass Scheme]],Axle_Data[Axle Code]&amp;Axle_Data[Mass Scheme],Axle_Data[MDL Maximum Mass (t)],"",0)</f>
        <v/>
      </c>
      <c r="X167" t="str" cm="1">
        <f t="array" ref="X167">_xlfn.XLOOKUP(Mass_Data[[#This Row],[axle group 6]]&amp;Mass_Data[[#This Row],[Mass Scheme]],Axle_Data[Axle Code]&amp;Axle_Data[Mass Scheme],Axle_Data[MDL Maximum Mass (t)],"",0)</f>
        <v/>
      </c>
      <c r="Y167" t="str" cm="1">
        <f t="array" ref="Y167">_xlfn.XLOOKUP(Mass_Data[[#This Row],[axle group 7]]&amp;Mass_Data[[#This Row],[Mass Scheme]],Axle_Data[Axle Code]&amp;Axle_Data[Mass Scheme],Axle_Data[MDL Maximum Mass (t)],"",0)</f>
        <v/>
      </c>
      <c r="Z167" s="81">
        <f>SUM(Mass_Data[[#This Row],[MDL axle group 1 mass]:[MDL axle group 7 mass]])</f>
        <v>59.5</v>
      </c>
      <c r="AA167">
        <f>Mass_Data[[#This Row],[Total (1)]]-Mass_Data[[#This Row],[GCM (t)]]</f>
        <v>0.5</v>
      </c>
      <c r="AB167" t="str">
        <f>IF(Mass_Data[[#This Row],[Difference between MDL and GCM]]=0,"YES","NO")</f>
        <v>NO</v>
      </c>
      <c r="AC167" s="22">
        <f>IFERROR(IF(Mass_Data[[#This Row],[Check (1)]]="YES",Mass_Data[[#This Row],[MDL axle group 1 mass]],Mass_Data[[#This Row],[MDL axle group 1 mass]]-(Mass_Data[[#This Row],[Difference between MDL and GCM]]*(Mass_Data[[#This Row],[MDL axle group 1 mass]]/Mass_Data[[#This Row],[Total (1)]]))),"")</f>
        <v>6.4453781512605044</v>
      </c>
      <c r="AD167" s="22">
        <f>IFERROR(IF(Mass_Data[[#This Row],[Check (1)]]="YES",Mass_Data[[#This Row],[MDL axle group 2 mass]],Mass_Data[[#This Row],[MDL axle group 2 mass]]-(Mass_Data[[#This Row],[Difference between MDL and GCM]]*(Mass_Data[[#This Row],[MDL axle group 2 mass]]/Mass_Data[[#This Row],[Total (1)]]))),"")</f>
        <v>16.361344537815125</v>
      </c>
      <c r="AE167" s="22">
        <f>IFERROR(IF(Mass_Data[[#This Row],[Check (1)]]="YES",Mass_Data[[#This Row],[MDL axle group 3 mass]],Mass_Data[[#This Row],[MDL axle group 3 mass]]-(Mass_Data[[#This Row],[Difference between MDL and GCM]]*(Mass_Data[[#This Row],[MDL axle group 3 mass]]/Mass_Data[[#This Row],[Total (1)]]))),"")</f>
        <v>16.361344537815125</v>
      </c>
      <c r="AF167" s="22">
        <f>IFERROR(IF(Mass_Data[[#This Row],[Check (1)]]="YES",Mass_Data[[#This Row],[MDL axle group 4 mass]],Mass_Data[[#This Row],[MDL axle group 4 mass]]-(Mass_Data[[#This Row],[Difference between MDL and GCM]]*(Mass_Data[[#This Row],[MDL axle group 4 mass]]/Mass_Data[[#This Row],[Total (1)]]))),"")</f>
        <v>19.831932773109244</v>
      </c>
      <c r="AG167" s="22" t="str">
        <f>IFERROR(IF(Mass_Data[[#This Row],[Check (1)]]="YES",Mass_Data[[#This Row],[MDL axle group 5 mass]],Mass_Data[[#This Row],[MDL axle group 5 mass]]-(Mass_Data[[#This Row],[Difference between MDL and GCM]]*(Mass_Data[[#This Row],[MDL axle group 5 mass]]/Mass_Data[[#This Row],[Total (1)]]))),"")</f>
        <v/>
      </c>
      <c r="AH167" s="22" t="str">
        <f>IFERROR(IF(Mass_Data[[#This Row],[Check (1)]]="YES",Mass_Data[[#This Row],[MDL axle group 6 mass]],Mass_Data[[#This Row],[MDL axle group 6 mass]]-(Mass_Data[[#This Row],[Difference between MDL and GCM]]*(Mass_Data[[#This Row],[MDL axle group 6 mass]]/Mass_Data[[#This Row],[Total (1)]]))),"")</f>
        <v/>
      </c>
      <c r="AI167" s="22" t="str">
        <f>IFERROR(IF(Mass_Data[[#This Row],[Check (1)]]="YES",Mass_Data[[#This Row],[MDL axle group 7 mass]],Mass_Data[[#This Row],[MDL axle group 7 mass]]-(Mass_Data[[#This Row],[Difference between MDL and GCM]]*(Mass_Data[[#This Row],[MDL axle group 7 mass]]/Mass_Data[[#This Row],[Total (1)]]))),"")</f>
        <v/>
      </c>
      <c r="AJ167" s="81">
        <f>SUM(Mass_Data[[#This Row],[Corrected axle group 1 mass]:[Corrected axle group 7 mass]])</f>
        <v>59</v>
      </c>
      <c r="AK167">
        <f>Mass_Data[[#This Row],[Total (2)]]-Mass_Data[[#This Row],[GCM (t)]]</f>
        <v>0</v>
      </c>
      <c r="AL167" s="22" t="str">
        <f>IF(Mass_Data[[#This Row],[Difference between MDL and corrected axle masses]]=0,"YES","NO")</f>
        <v>YES</v>
      </c>
    </row>
    <row r="168" spans="3:38" x14ac:dyDescent="0.35">
      <c r="C168" s="10" t="str">
        <f t="shared" si="2"/>
        <v>Conventional - 8-Axle B-Double (CML)</v>
      </c>
      <c r="D168" s="10" t="s">
        <v>180</v>
      </c>
      <c r="E168" s="10" t="s">
        <v>220</v>
      </c>
      <c r="F168" s="12" t="s">
        <v>20</v>
      </c>
      <c r="G168" s="11" t="s">
        <v>202</v>
      </c>
      <c r="H168" t="s">
        <v>139</v>
      </c>
      <c r="I168" s="9">
        <v>61</v>
      </c>
      <c r="J168" s="14">
        <v>37.24102674819482</v>
      </c>
      <c r="K168" s="14">
        <f>Mass_Data[[#This Row],[GCM (t)]]-Mass_Data[[#This Row],[Payload (t)]]</f>
        <v>23.75897325180518</v>
      </c>
      <c r="L168" t="s">
        <v>8</v>
      </c>
      <c r="M168" t="s">
        <v>9</v>
      </c>
      <c r="N168" t="s">
        <v>30</v>
      </c>
      <c r="O168" t="s">
        <v>10</v>
      </c>
      <c r="P168">
        <v>0</v>
      </c>
      <c r="Q168">
        <v>0</v>
      </c>
      <c r="R168">
        <v>0</v>
      </c>
      <c r="S168" cm="1">
        <f t="array" ref="S168">_xlfn.XLOOKUP(Mass_Data[[#This Row],[axle group 1]]&amp;Mass_Data[[#This Row],[Mass Scheme]],Axle_Data[Axle Code]&amp;Axle_Data[Mass Scheme],Axle_Data[MDL Maximum Mass (t)],"",0)</f>
        <v>6.5</v>
      </c>
      <c r="T168" cm="1">
        <f t="array" ref="T168">_xlfn.XLOOKUP(Mass_Data[[#This Row],[axle group 2]]&amp;Mass_Data[[#This Row],[Mass Scheme]],Axle_Data[Axle Code]&amp;Axle_Data[Mass Scheme],Axle_Data[MDL Maximum Mass (t)],"",0)</f>
        <v>17</v>
      </c>
      <c r="U168" cm="1">
        <f t="array" ref="U168">_xlfn.XLOOKUP(Mass_Data[[#This Row],[axle group 3]]&amp;Mass_Data[[#This Row],[Mass Scheme]],Axle_Data[Axle Code]&amp;Axle_Data[Mass Scheme],Axle_Data[MDL Maximum Mass (t)],"",0)</f>
        <v>17</v>
      </c>
      <c r="V168" cm="1">
        <f t="array" ref="V168">_xlfn.XLOOKUP(Mass_Data[[#This Row],[axle group 4]]&amp;Mass_Data[[#This Row],[Mass Scheme]],Axle_Data[Axle Code]&amp;Axle_Data[Mass Scheme],Axle_Data[MDL Maximum Mass (t)],"",0)</f>
        <v>21</v>
      </c>
      <c r="W168" t="str" cm="1">
        <f t="array" ref="W168">_xlfn.XLOOKUP(Mass_Data[[#This Row],[axle group 5]]&amp;Mass_Data[[#This Row],[Mass Scheme]],Axle_Data[Axle Code]&amp;Axle_Data[Mass Scheme],Axle_Data[MDL Maximum Mass (t)],"",0)</f>
        <v/>
      </c>
      <c r="X168" t="str" cm="1">
        <f t="array" ref="X168">_xlfn.XLOOKUP(Mass_Data[[#This Row],[axle group 6]]&amp;Mass_Data[[#This Row],[Mass Scheme]],Axle_Data[Axle Code]&amp;Axle_Data[Mass Scheme],Axle_Data[MDL Maximum Mass (t)],"",0)</f>
        <v/>
      </c>
      <c r="Y168" t="str" cm="1">
        <f t="array" ref="Y168">_xlfn.XLOOKUP(Mass_Data[[#This Row],[axle group 7]]&amp;Mass_Data[[#This Row],[Mass Scheme]],Axle_Data[Axle Code]&amp;Axle_Data[Mass Scheme],Axle_Data[MDL Maximum Mass (t)],"",0)</f>
        <v/>
      </c>
      <c r="Z168" s="81">
        <f>SUM(Mass_Data[[#This Row],[MDL axle group 1 mass]:[MDL axle group 7 mass]])</f>
        <v>61.5</v>
      </c>
      <c r="AA168">
        <f>Mass_Data[[#This Row],[Total (1)]]-Mass_Data[[#This Row],[GCM (t)]]</f>
        <v>0.5</v>
      </c>
      <c r="AB168" t="str">
        <f>IF(Mass_Data[[#This Row],[Difference between MDL and GCM]]=0,"YES","NO")</f>
        <v>NO</v>
      </c>
      <c r="AC168" s="22">
        <f>IFERROR(IF(Mass_Data[[#This Row],[Check (1)]]="YES",Mass_Data[[#This Row],[MDL axle group 1 mass]],Mass_Data[[#This Row],[MDL axle group 1 mass]]-(Mass_Data[[#This Row],[Difference between MDL and GCM]]*(Mass_Data[[#This Row],[MDL axle group 1 mass]]/Mass_Data[[#This Row],[Total (1)]]))),"")</f>
        <v>6.4471544715447155</v>
      </c>
      <c r="AD168" s="22">
        <f>IFERROR(IF(Mass_Data[[#This Row],[Check (1)]]="YES",Mass_Data[[#This Row],[MDL axle group 2 mass]],Mass_Data[[#This Row],[MDL axle group 2 mass]]-(Mass_Data[[#This Row],[Difference between MDL and GCM]]*(Mass_Data[[#This Row],[MDL axle group 2 mass]]/Mass_Data[[#This Row],[Total (1)]]))),"")</f>
        <v>16.86178861788618</v>
      </c>
      <c r="AE168" s="22">
        <f>IFERROR(IF(Mass_Data[[#This Row],[Check (1)]]="YES",Mass_Data[[#This Row],[MDL axle group 3 mass]],Mass_Data[[#This Row],[MDL axle group 3 mass]]-(Mass_Data[[#This Row],[Difference between MDL and GCM]]*(Mass_Data[[#This Row],[MDL axle group 3 mass]]/Mass_Data[[#This Row],[Total (1)]]))),"")</f>
        <v>16.86178861788618</v>
      </c>
      <c r="AF168" s="22">
        <f>IFERROR(IF(Mass_Data[[#This Row],[Check (1)]]="YES",Mass_Data[[#This Row],[MDL axle group 4 mass]],Mass_Data[[#This Row],[MDL axle group 4 mass]]-(Mass_Data[[#This Row],[Difference between MDL and GCM]]*(Mass_Data[[#This Row],[MDL axle group 4 mass]]/Mass_Data[[#This Row],[Total (1)]]))),"")</f>
        <v>20.829268292682926</v>
      </c>
      <c r="AG168" s="22" t="str">
        <f>IFERROR(IF(Mass_Data[[#This Row],[Check (1)]]="YES",Mass_Data[[#This Row],[MDL axle group 5 mass]],Mass_Data[[#This Row],[MDL axle group 5 mass]]-(Mass_Data[[#This Row],[Difference between MDL and GCM]]*(Mass_Data[[#This Row],[MDL axle group 5 mass]]/Mass_Data[[#This Row],[Total (1)]]))),"")</f>
        <v/>
      </c>
      <c r="AH168" s="22" t="str">
        <f>IFERROR(IF(Mass_Data[[#This Row],[Check (1)]]="YES",Mass_Data[[#This Row],[MDL axle group 6 mass]],Mass_Data[[#This Row],[MDL axle group 6 mass]]-(Mass_Data[[#This Row],[Difference between MDL and GCM]]*(Mass_Data[[#This Row],[MDL axle group 6 mass]]/Mass_Data[[#This Row],[Total (1)]]))),"")</f>
        <v/>
      </c>
      <c r="AI168" s="22" t="str">
        <f>IFERROR(IF(Mass_Data[[#This Row],[Check (1)]]="YES",Mass_Data[[#This Row],[MDL axle group 7 mass]],Mass_Data[[#This Row],[MDL axle group 7 mass]]-(Mass_Data[[#This Row],[Difference between MDL and GCM]]*(Mass_Data[[#This Row],[MDL axle group 7 mass]]/Mass_Data[[#This Row],[Total (1)]]))),"")</f>
        <v/>
      </c>
      <c r="AJ168" s="81">
        <f>SUM(Mass_Data[[#This Row],[Corrected axle group 1 mass]:[Corrected axle group 7 mass]])</f>
        <v>61</v>
      </c>
      <c r="AK168">
        <f>Mass_Data[[#This Row],[Total (2)]]-Mass_Data[[#This Row],[GCM (t)]]</f>
        <v>0</v>
      </c>
      <c r="AL168" s="22" t="str">
        <f>IF(Mass_Data[[#This Row],[Difference between MDL and corrected axle masses]]=0,"YES","NO")</f>
        <v>YES</v>
      </c>
    </row>
    <row r="169" spans="3:38" x14ac:dyDescent="0.35">
      <c r="C169" s="10" t="str">
        <f t="shared" si="2"/>
        <v>Conventional - 8-Axle B-Double (HML)</v>
      </c>
      <c r="D169" s="10" t="s">
        <v>180</v>
      </c>
      <c r="E169" s="10" t="s">
        <v>220</v>
      </c>
      <c r="F169" s="12" t="s">
        <v>7</v>
      </c>
      <c r="G169" s="11" t="s">
        <v>202</v>
      </c>
      <c r="H169" t="s">
        <v>139</v>
      </c>
      <c r="I169" s="9">
        <v>62.5</v>
      </c>
      <c r="J169" s="14">
        <v>38.74102674819482</v>
      </c>
      <c r="K169" s="14">
        <f>Mass_Data[[#This Row],[GCM (t)]]-Mass_Data[[#This Row],[Payload (t)]]</f>
        <v>23.75897325180518</v>
      </c>
      <c r="L169" t="s">
        <v>8</v>
      </c>
      <c r="M169" t="s">
        <v>9</v>
      </c>
      <c r="N169" t="s">
        <v>30</v>
      </c>
      <c r="O169" t="s">
        <v>10</v>
      </c>
      <c r="P169">
        <v>0</v>
      </c>
      <c r="Q169">
        <v>0</v>
      </c>
      <c r="R169">
        <v>0</v>
      </c>
      <c r="S169" cm="1">
        <f t="array" ref="S169">_xlfn.XLOOKUP(Mass_Data[[#This Row],[axle group 1]]&amp;Mass_Data[[#This Row],[Mass Scheme]],Axle_Data[Axle Code]&amp;Axle_Data[Mass Scheme],Axle_Data[MDL Maximum Mass (t)],"",0)</f>
        <v>6.5</v>
      </c>
      <c r="T169" cm="1">
        <f t="array" ref="T169">_xlfn.XLOOKUP(Mass_Data[[#This Row],[axle group 2]]&amp;Mass_Data[[#This Row],[Mass Scheme]],Axle_Data[Axle Code]&amp;Axle_Data[Mass Scheme],Axle_Data[MDL Maximum Mass (t)],"",0)</f>
        <v>17</v>
      </c>
      <c r="U169" cm="1">
        <f t="array" ref="U169">_xlfn.XLOOKUP(Mass_Data[[#This Row],[axle group 3]]&amp;Mass_Data[[#This Row],[Mass Scheme]],Axle_Data[Axle Code]&amp;Axle_Data[Mass Scheme],Axle_Data[MDL Maximum Mass (t)],"",0)</f>
        <v>17</v>
      </c>
      <c r="V169" cm="1">
        <f t="array" ref="V169">_xlfn.XLOOKUP(Mass_Data[[#This Row],[axle group 4]]&amp;Mass_Data[[#This Row],[Mass Scheme]],Axle_Data[Axle Code]&amp;Axle_Data[Mass Scheme],Axle_Data[MDL Maximum Mass (t)],"",0)</f>
        <v>22.5</v>
      </c>
      <c r="W169" t="str" cm="1">
        <f t="array" ref="W169">_xlfn.XLOOKUP(Mass_Data[[#This Row],[axle group 5]]&amp;Mass_Data[[#This Row],[Mass Scheme]],Axle_Data[Axle Code]&amp;Axle_Data[Mass Scheme],Axle_Data[MDL Maximum Mass (t)],"",0)</f>
        <v/>
      </c>
      <c r="X169" t="str" cm="1">
        <f t="array" ref="X169">_xlfn.XLOOKUP(Mass_Data[[#This Row],[axle group 6]]&amp;Mass_Data[[#This Row],[Mass Scheme]],Axle_Data[Axle Code]&amp;Axle_Data[Mass Scheme],Axle_Data[MDL Maximum Mass (t)],"",0)</f>
        <v/>
      </c>
      <c r="Y169" t="str" cm="1">
        <f t="array" ref="Y169">_xlfn.XLOOKUP(Mass_Data[[#This Row],[axle group 7]]&amp;Mass_Data[[#This Row],[Mass Scheme]],Axle_Data[Axle Code]&amp;Axle_Data[Mass Scheme],Axle_Data[MDL Maximum Mass (t)],"",0)</f>
        <v/>
      </c>
      <c r="Z169" s="81">
        <f>SUM(Mass_Data[[#This Row],[MDL axle group 1 mass]:[MDL axle group 7 mass]])</f>
        <v>63</v>
      </c>
      <c r="AA169">
        <f>Mass_Data[[#This Row],[Total (1)]]-Mass_Data[[#This Row],[GCM (t)]]</f>
        <v>0.5</v>
      </c>
      <c r="AB169" t="str">
        <f>IF(Mass_Data[[#This Row],[Difference between MDL and GCM]]=0,"YES","NO")</f>
        <v>NO</v>
      </c>
      <c r="AC169" s="22">
        <f>IFERROR(IF(Mass_Data[[#This Row],[Check (1)]]="YES",Mass_Data[[#This Row],[MDL axle group 1 mass]],Mass_Data[[#This Row],[MDL axle group 1 mass]]-(Mass_Data[[#This Row],[Difference between MDL and GCM]]*(Mass_Data[[#This Row],[MDL axle group 1 mass]]/Mass_Data[[#This Row],[Total (1)]]))),"")</f>
        <v>6.4484126984126986</v>
      </c>
      <c r="AD169" s="22">
        <f>IFERROR(IF(Mass_Data[[#This Row],[Check (1)]]="YES",Mass_Data[[#This Row],[MDL axle group 2 mass]],Mass_Data[[#This Row],[MDL axle group 2 mass]]-(Mass_Data[[#This Row],[Difference between MDL and GCM]]*(Mass_Data[[#This Row],[MDL axle group 2 mass]]/Mass_Data[[#This Row],[Total (1)]]))),"")</f>
        <v>16.865079365079364</v>
      </c>
      <c r="AE169" s="22">
        <f>IFERROR(IF(Mass_Data[[#This Row],[Check (1)]]="YES",Mass_Data[[#This Row],[MDL axle group 3 mass]],Mass_Data[[#This Row],[MDL axle group 3 mass]]-(Mass_Data[[#This Row],[Difference between MDL and GCM]]*(Mass_Data[[#This Row],[MDL axle group 3 mass]]/Mass_Data[[#This Row],[Total (1)]]))),"")</f>
        <v>16.865079365079364</v>
      </c>
      <c r="AF169" s="22">
        <f>IFERROR(IF(Mass_Data[[#This Row],[Check (1)]]="YES",Mass_Data[[#This Row],[MDL axle group 4 mass]],Mass_Data[[#This Row],[MDL axle group 4 mass]]-(Mass_Data[[#This Row],[Difference between MDL and GCM]]*(Mass_Data[[#This Row],[MDL axle group 4 mass]]/Mass_Data[[#This Row],[Total (1)]]))),"")</f>
        <v>22.321428571428573</v>
      </c>
      <c r="AG169" s="22" t="str">
        <f>IFERROR(IF(Mass_Data[[#This Row],[Check (1)]]="YES",Mass_Data[[#This Row],[MDL axle group 5 mass]],Mass_Data[[#This Row],[MDL axle group 5 mass]]-(Mass_Data[[#This Row],[Difference between MDL and GCM]]*(Mass_Data[[#This Row],[MDL axle group 5 mass]]/Mass_Data[[#This Row],[Total (1)]]))),"")</f>
        <v/>
      </c>
      <c r="AH169" s="22" t="str">
        <f>IFERROR(IF(Mass_Data[[#This Row],[Check (1)]]="YES",Mass_Data[[#This Row],[MDL axle group 6 mass]],Mass_Data[[#This Row],[MDL axle group 6 mass]]-(Mass_Data[[#This Row],[Difference between MDL and GCM]]*(Mass_Data[[#This Row],[MDL axle group 6 mass]]/Mass_Data[[#This Row],[Total (1)]]))),"")</f>
        <v/>
      </c>
      <c r="AI169" s="22" t="str">
        <f>IFERROR(IF(Mass_Data[[#This Row],[Check (1)]]="YES",Mass_Data[[#This Row],[MDL axle group 7 mass]],Mass_Data[[#This Row],[MDL axle group 7 mass]]-(Mass_Data[[#This Row],[Difference between MDL and GCM]]*(Mass_Data[[#This Row],[MDL axle group 7 mass]]/Mass_Data[[#This Row],[Total (1)]]))),"")</f>
        <v/>
      </c>
      <c r="AJ169" s="81">
        <f>SUM(Mass_Data[[#This Row],[Corrected axle group 1 mass]:[Corrected axle group 7 mass]])</f>
        <v>62.5</v>
      </c>
      <c r="AK169">
        <f>Mass_Data[[#This Row],[Total (2)]]-Mass_Data[[#This Row],[GCM (t)]]</f>
        <v>0</v>
      </c>
      <c r="AL169" s="22" t="str">
        <f>IF(Mass_Data[[#This Row],[Difference between MDL and corrected axle masses]]=0,"YES","NO")</f>
        <v>YES</v>
      </c>
    </row>
    <row r="170" spans="3:38" x14ac:dyDescent="0.35">
      <c r="C170" s="10" t="str">
        <f t="shared" si="2"/>
        <v>Conventional - 9-Axle B-Double (GML)</v>
      </c>
      <c r="D170" s="10" t="s">
        <v>152</v>
      </c>
      <c r="E170" s="10" t="s">
        <v>220</v>
      </c>
      <c r="F170" s="12" t="s">
        <v>18</v>
      </c>
      <c r="G170" s="11" t="s">
        <v>202</v>
      </c>
      <c r="H170" t="s">
        <v>62</v>
      </c>
      <c r="I170" s="9">
        <v>62.5</v>
      </c>
      <c r="J170" s="14">
        <v>37.280936993026025</v>
      </c>
      <c r="K170" s="14">
        <f>Mass_Data[[#This Row],[GCM (t)]]-Mass_Data[[#This Row],[Payload (t)]]</f>
        <v>25.219063006973975</v>
      </c>
      <c r="L170" t="s">
        <v>8</v>
      </c>
      <c r="M170" t="s">
        <v>9</v>
      </c>
      <c r="N170" t="s">
        <v>10</v>
      </c>
      <c r="O170" t="s">
        <v>10</v>
      </c>
      <c r="P170">
        <v>0</v>
      </c>
      <c r="Q170">
        <v>0</v>
      </c>
      <c r="R170">
        <v>0</v>
      </c>
      <c r="S170" cm="1">
        <f t="array" ref="S170">_xlfn.XLOOKUP(Mass_Data[[#This Row],[axle group 1]]&amp;Mass_Data[[#This Row],[Mass Scheme]],Axle_Data[Axle Code]&amp;Axle_Data[Mass Scheme],Axle_Data[MDL Maximum Mass (t)],"",0)</f>
        <v>6.5</v>
      </c>
      <c r="T170" cm="1">
        <f t="array" ref="T170">_xlfn.XLOOKUP(Mass_Data[[#This Row],[axle group 2]]&amp;Mass_Data[[#This Row],[Mass Scheme]],Axle_Data[Axle Code]&amp;Axle_Data[Mass Scheme],Axle_Data[MDL Maximum Mass (t)],"",0)</f>
        <v>16.5</v>
      </c>
      <c r="U170" cm="1">
        <f t="array" ref="U170">_xlfn.XLOOKUP(Mass_Data[[#This Row],[axle group 3]]&amp;Mass_Data[[#This Row],[Mass Scheme]],Axle_Data[Axle Code]&amp;Axle_Data[Mass Scheme],Axle_Data[MDL Maximum Mass (t)],"",0)</f>
        <v>20</v>
      </c>
      <c r="V170" cm="1">
        <f t="array" ref="V170">_xlfn.XLOOKUP(Mass_Data[[#This Row],[axle group 4]]&amp;Mass_Data[[#This Row],[Mass Scheme]],Axle_Data[Axle Code]&amp;Axle_Data[Mass Scheme],Axle_Data[MDL Maximum Mass (t)],"",0)</f>
        <v>20</v>
      </c>
      <c r="W170" t="str" cm="1">
        <f t="array" ref="W170">_xlfn.XLOOKUP(Mass_Data[[#This Row],[axle group 5]]&amp;Mass_Data[[#This Row],[Mass Scheme]],Axle_Data[Axle Code]&amp;Axle_Data[Mass Scheme],Axle_Data[MDL Maximum Mass (t)],"",0)</f>
        <v/>
      </c>
      <c r="X170" t="str" cm="1">
        <f t="array" ref="X170">_xlfn.XLOOKUP(Mass_Data[[#This Row],[axle group 6]]&amp;Mass_Data[[#This Row],[Mass Scheme]],Axle_Data[Axle Code]&amp;Axle_Data[Mass Scheme],Axle_Data[MDL Maximum Mass (t)],"",0)</f>
        <v/>
      </c>
      <c r="Y170" t="str" cm="1">
        <f t="array" ref="Y170">_xlfn.XLOOKUP(Mass_Data[[#This Row],[axle group 7]]&amp;Mass_Data[[#This Row],[Mass Scheme]],Axle_Data[Axle Code]&amp;Axle_Data[Mass Scheme],Axle_Data[MDL Maximum Mass (t)],"",0)</f>
        <v/>
      </c>
      <c r="Z170" s="81">
        <f>SUM(Mass_Data[[#This Row],[MDL axle group 1 mass]:[MDL axle group 7 mass]])</f>
        <v>63</v>
      </c>
      <c r="AA170">
        <f>Mass_Data[[#This Row],[Total (1)]]-Mass_Data[[#This Row],[GCM (t)]]</f>
        <v>0.5</v>
      </c>
      <c r="AB170" t="str">
        <f>IF(Mass_Data[[#This Row],[Difference between MDL and GCM]]=0,"YES","NO")</f>
        <v>NO</v>
      </c>
      <c r="AC170" s="22">
        <f>IFERROR(IF(Mass_Data[[#This Row],[Check (1)]]="YES",Mass_Data[[#This Row],[MDL axle group 1 mass]],Mass_Data[[#This Row],[MDL axle group 1 mass]]-(Mass_Data[[#This Row],[Difference between MDL and GCM]]*(Mass_Data[[#This Row],[MDL axle group 1 mass]]/Mass_Data[[#This Row],[Total (1)]]))),"")</f>
        <v>6.4484126984126986</v>
      </c>
      <c r="AD170" s="22">
        <f>IFERROR(IF(Mass_Data[[#This Row],[Check (1)]]="YES",Mass_Data[[#This Row],[MDL axle group 2 mass]],Mass_Data[[#This Row],[MDL axle group 2 mass]]-(Mass_Data[[#This Row],[Difference between MDL and GCM]]*(Mass_Data[[#This Row],[MDL axle group 2 mass]]/Mass_Data[[#This Row],[Total (1)]]))),"")</f>
        <v>16.36904761904762</v>
      </c>
      <c r="AE170" s="22">
        <f>IFERROR(IF(Mass_Data[[#This Row],[Check (1)]]="YES",Mass_Data[[#This Row],[MDL axle group 3 mass]],Mass_Data[[#This Row],[MDL axle group 3 mass]]-(Mass_Data[[#This Row],[Difference between MDL and GCM]]*(Mass_Data[[#This Row],[MDL axle group 3 mass]]/Mass_Data[[#This Row],[Total (1)]]))),"")</f>
        <v>19.841269841269842</v>
      </c>
      <c r="AF170" s="22">
        <f>IFERROR(IF(Mass_Data[[#This Row],[Check (1)]]="YES",Mass_Data[[#This Row],[MDL axle group 4 mass]],Mass_Data[[#This Row],[MDL axle group 4 mass]]-(Mass_Data[[#This Row],[Difference between MDL and GCM]]*(Mass_Data[[#This Row],[MDL axle group 4 mass]]/Mass_Data[[#This Row],[Total (1)]]))),"")</f>
        <v>19.841269841269842</v>
      </c>
      <c r="AG170" s="22" t="str">
        <f>IFERROR(IF(Mass_Data[[#This Row],[Check (1)]]="YES",Mass_Data[[#This Row],[MDL axle group 5 mass]],Mass_Data[[#This Row],[MDL axle group 5 mass]]-(Mass_Data[[#This Row],[Difference between MDL and GCM]]*(Mass_Data[[#This Row],[MDL axle group 5 mass]]/Mass_Data[[#This Row],[Total (1)]]))),"")</f>
        <v/>
      </c>
      <c r="AH170" s="22" t="str">
        <f>IFERROR(IF(Mass_Data[[#This Row],[Check (1)]]="YES",Mass_Data[[#This Row],[MDL axle group 6 mass]],Mass_Data[[#This Row],[MDL axle group 6 mass]]-(Mass_Data[[#This Row],[Difference between MDL and GCM]]*(Mass_Data[[#This Row],[MDL axle group 6 mass]]/Mass_Data[[#This Row],[Total (1)]]))),"")</f>
        <v/>
      </c>
      <c r="AI170" s="22" t="str">
        <f>IFERROR(IF(Mass_Data[[#This Row],[Check (1)]]="YES",Mass_Data[[#This Row],[MDL axle group 7 mass]],Mass_Data[[#This Row],[MDL axle group 7 mass]]-(Mass_Data[[#This Row],[Difference between MDL and GCM]]*(Mass_Data[[#This Row],[MDL axle group 7 mass]]/Mass_Data[[#This Row],[Total (1)]]))),"")</f>
        <v/>
      </c>
      <c r="AJ170" s="81">
        <f>SUM(Mass_Data[[#This Row],[Corrected axle group 1 mass]:[Corrected axle group 7 mass]])</f>
        <v>62.500000000000007</v>
      </c>
      <c r="AK170">
        <f>Mass_Data[[#This Row],[Total (2)]]-Mass_Data[[#This Row],[GCM (t)]]</f>
        <v>0</v>
      </c>
      <c r="AL170" s="22" t="str">
        <f>IF(Mass_Data[[#This Row],[Difference between MDL and corrected axle masses]]=0,"YES","NO")</f>
        <v>YES</v>
      </c>
    </row>
    <row r="171" spans="3:38" x14ac:dyDescent="0.35">
      <c r="C171" s="10" t="str">
        <f t="shared" si="2"/>
        <v>Conventional - 9-Axle B-Double (CML)</v>
      </c>
      <c r="D171" s="10" t="s">
        <v>152</v>
      </c>
      <c r="E171" s="10" t="s">
        <v>220</v>
      </c>
      <c r="F171" s="12" t="s">
        <v>20</v>
      </c>
      <c r="G171" s="11" t="s">
        <v>202</v>
      </c>
      <c r="H171" t="s">
        <v>62</v>
      </c>
      <c r="I171" s="9">
        <v>64.5</v>
      </c>
      <c r="J171" s="14">
        <v>39.280936993026025</v>
      </c>
      <c r="K171" s="14">
        <f>Mass_Data[[#This Row],[GCM (t)]]-Mass_Data[[#This Row],[Payload (t)]]</f>
        <v>25.219063006973975</v>
      </c>
      <c r="L171" t="s">
        <v>8</v>
      </c>
      <c r="M171" t="s">
        <v>9</v>
      </c>
      <c r="N171" t="s">
        <v>10</v>
      </c>
      <c r="O171" t="s">
        <v>10</v>
      </c>
      <c r="P171">
        <v>0</v>
      </c>
      <c r="Q171">
        <v>0</v>
      </c>
      <c r="R171">
        <v>0</v>
      </c>
      <c r="S171" cm="1">
        <f t="array" ref="S171">_xlfn.XLOOKUP(Mass_Data[[#This Row],[axle group 1]]&amp;Mass_Data[[#This Row],[Mass Scheme]],Axle_Data[Axle Code]&amp;Axle_Data[Mass Scheme],Axle_Data[MDL Maximum Mass (t)],"",0)</f>
        <v>6.5</v>
      </c>
      <c r="T171" cm="1">
        <f t="array" ref="T171">_xlfn.XLOOKUP(Mass_Data[[#This Row],[axle group 2]]&amp;Mass_Data[[#This Row],[Mass Scheme]],Axle_Data[Axle Code]&amp;Axle_Data[Mass Scheme],Axle_Data[MDL Maximum Mass (t)],"",0)</f>
        <v>17</v>
      </c>
      <c r="U171" cm="1">
        <f t="array" ref="U171">_xlfn.XLOOKUP(Mass_Data[[#This Row],[axle group 3]]&amp;Mass_Data[[#This Row],[Mass Scheme]],Axle_Data[Axle Code]&amp;Axle_Data[Mass Scheme],Axle_Data[MDL Maximum Mass (t)],"",0)</f>
        <v>21</v>
      </c>
      <c r="V171" cm="1">
        <f t="array" ref="V171">_xlfn.XLOOKUP(Mass_Data[[#This Row],[axle group 4]]&amp;Mass_Data[[#This Row],[Mass Scheme]],Axle_Data[Axle Code]&amp;Axle_Data[Mass Scheme],Axle_Data[MDL Maximum Mass (t)],"",0)</f>
        <v>21</v>
      </c>
      <c r="W171" t="str" cm="1">
        <f t="array" ref="W171">_xlfn.XLOOKUP(Mass_Data[[#This Row],[axle group 5]]&amp;Mass_Data[[#This Row],[Mass Scheme]],Axle_Data[Axle Code]&amp;Axle_Data[Mass Scheme],Axle_Data[MDL Maximum Mass (t)],"",0)</f>
        <v/>
      </c>
      <c r="X171" t="str" cm="1">
        <f t="array" ref="X171">_xlfn.XLOOKUP(Mass_Data[[#This Row],[axle group 6]]&amp;Mass_Data[[#This Row],[Mass Scheme]],Axle_Data[Axle Code]&amp;Axle_Data[Mass Scheme],Axle_Data[MDL Maximum Mass (t)],"",0)</f>
        <v/>
      </c>
      <c r="Y171" t="str" cm="1">
        <f t="array" ref="Y171">_xlfn.XLOOKUP(Mass_Data[[#This Row],[axle group 7]]&amp;Mass_Data[[#This Row],[Mass Scheme]],Axle_Data[Axle Code]&amp;Axle_Data[Mass Scheme],Axle_Data[MDL Maximum Mass (t)],"",0)</f>
        <v/>
      </c>
      <c r="Z171" s="81">
        <f>SUM(Mass_Data[[#This Row],[MDL axle group 1 mass]:[MDL axle group 7 mass]])</f>
        <v>65.5</v>
      </c>
      <c r="AA171">
        <f>Mass_Data[[#This Row],[Total (1)]]-Mass_Data[[#This Row],[GCM (t)]]</f>
        <v>1</v>
      </c>
      <c r="AB171" t="str">
        <f>IF(Mass_Data[[#This Row],[Difference between MDL and GCM]]=0,"YES","NO")</f>
        <v>NO</v>
      </c>
      <c r="AC171" s="22">
        <f>IFERROR(IF(Mass_Data[[#This Row],[Check (1)]]="YES",Mass_Data[[#This Row],[MDL axle group 1 mass]],Mass_Data[[#This Row],[MDL axle group 1 mass]]-(Mass_Data[[#This Row],[Difference between MDL and GCM]]*(Mass_Data[[#This Row],[MDL axle group 1 mass]]/Mass_Data[[#This Row],[Total (1)]]))),"")</f>
        <v>6.4007633587786259</v>
      </c>
      <c r="AD171" s="22">
        <f>IFERROR(IF(Mass_Data[[#This Row],[Check (1)]]="YES",Mass_Data[[#This Row],[MDL axle group 2 mass]],Mass_Data[[#This Row],[MDL axle group 2 mass]]-(Mass_Data[[#This Row],[Difference between MDL and GCM]]*(Mass_Data[[#This Row],[MDL axle group 2 mass]]/Mass_Data[[#This Row],[Total (1)]]))),"")</f>
        <v>16.740458015267176</v>
      </c>
      <c r="AE171" s="22">
        <f>IFERROR(IF(Mass_Data[[#This Row],[Check (1)]]="YES",Mass_Data[[#This Row],[MDL axle group 3 mass]],Mass_Data[[#This Row],[MDL axle group 3 mass]]-(Mass_Data[[#This Row],[Difference between MDL and GCM]]*(Mass_Data[[#This Row],[MDL axle group 3 mass]]/Mass_Data[[#This Row],[Total (1)]]))),"")</f>
        <v>20.679389312977101</v>
      </c>
      <c r="AF171" s="22">
        <f>IFERROR(IF(Mass_Data[[#This Row],[Check (1)]]="YES",Mass_Data[[#This Row],[MDL axle group 4 mass]],Mass_Data[[#This Row],[MDL axle group 4 mass]]-(Mass_Data[[#This Row],[Difference between MDL and GCM]]*(Mass_Data[[#This Row],[MDL axle group 4 mass]]/Mass_Data[[#This Row],[Total (1)]]))),"")</f>
        <v>20.679389312977101</v>
      </c>
      <c r="AG171" s="22" t="str">
        <f>IFERROR(IF(Mass_Data[[#This Row],[Check (1)]]="YES",Mass_Data[[#This Row],[MDL axle group 5 mass]],Mass_Data[[#This Row],[MDL axle group 5 mass]]-(Mass_Data[[#This Row],[Difference between MDL and GCM]]*(Mass_Data[[#This Row],[MDL axle group 5 mass]]/Mass_Data[[#This Row],[Total (1)]]))),"")</f>
        <v/>
      </c>
      <c r="AH171" s="22" t="str">
        <f>IFERROR(IF(Mass_Data[[#This Row],[Check (1)]]="YES",Mass_Data[[#This Row],[MDL axle group 6 mass]],Mass_Data[[#This Row],[MDL axle group 6 mass]]-(Mass_Data[[#This Row],[Difference between MDL and GCM]]*(Mass_Data[[#This Row],[MDL axle group 6 mass]]/Mass_Data[[#This Row],[Total (1)]]))),"")</f>
        <v/>
      </c>
      <c r="AI171" s="22" t="str">
        <f>IFERROR(IF(Mass_Data[[#This Row],[Check (1)]]="YES",Mass_Data[[#This Row],[MDL axle group 7 mass]],Mass_Data[[#This Row],[MDL axle group 7 mass]]-(Mass_Data[[#This Row],[Difference between MDL and GCM]]*(Mass_Data[[#This Row],[MDL axle group 7 mass]]/Mass_Data[[#This Row],[Total (1)]]))),"")</f>
        <v/>
      </c>
      <c r="AJ171" s="81">
        <f>SUM(Mass_Data[[#This Row],[Corrected axle group 1 mass]:[Corrected axle group 7 mass]])</f>
        <v>64.5</v>
      </c>
      <c r="AK171">
        <f>Mass_Data[[#This Row],[Total (2)]]-Mass_Data[[#This Row],[GCM (t)]]</f>
        <v>0</v>
      </c>
      <c r="AL171" s="22" t="str">
        <f>IF(Mass_Data[[#This Row],[Difference between MDL and corrected axle masses]]=0,"YES","NO")</f>
        <v>YES</v>
      </c>
    </row>
    <row r="172" spans="3:38" x14ac:dyDescent="0.35">
      <c r="C172" s="10" t="str">
        <f t="shared" si="2"/>
        <v>Conventional - 9-Axle B-Double (HML)</v>
      </c>
      <c r="D172" s="10" t="s">
        <v>152</v>
      </c>
      <c r="E172" s="10" t="s">
        <v>220</v>
      </c>
      <c r="F172" s="12" t="s">
        <v>7</v>
      </c>
      <c r="G172" s="11" t="s">
        <v>202</v>
      </c>
      <c r="H172" t="s">
        <v>62</v>
      </c>
      <c r="I172" s="9">
        <v>68</v>
      </c>
      <c r="J172" s="14">
        <v>42.780936993026025</v>
      </c>
      <c r="K172" s="14">
        <f>Mass_Data[[#This Row],[GCM (t)]]-Mass_Data[[#This Row],[Payload (t)]]</f>
        <v>25.219063006973975</v>
      </c>
      <c r="L172" t="s">
        <v>8</v>
      </c>
      <c r="M172" t="s">
        <v>9</v>
      </c>
      <c r="N172" t="s">
        <v>10</v>
      </c>
      <c r="O172" t="s">
        <v>10</v>
      </c>
      <c r="P172">
        <v>0</v>
      </c>
      <c r="Q172">
        <v>0</v>
      </c>
      <c r="R172">
        <v>0</v>
      </c>
      <c r="S172" cm="1">
        <f t="array" ref="S172">_xlfn.XLOOKUP(Mass_Data[[#This Row],[axle group 1]]&amp;Mass_Data[[#This Row],[Mass Scheme]],Axle_Data[Axle Code]&amp;Axle_Data[Mass Scheme],Axle_Data[MDL Maximum Mass (t)],"",0)</f>
        <v>6.5</v>
      </c>
      <c r="T172" cm="1">
        <f t="array" ref="T172">_xlfn.XLOOKUP(Mass_Data[[#This Row],[axle group 2]]&amp;Mass_Data[[#This Row],[Mass Scheme]],Axle_Data[Axle Code]&amp;Axle_Data[Mass Scheme],Axle_Data[MDL Maximum Mass (t)],"",0)</f>
        <v>17</v>
      </c>
      <c r="U172" cm="1">
        <f t="array" ref="U172">_xlfn.XLOOKUP(Mass_Data[[#This Row],[axle group 3]]&amp;Mass_Data[[#This Row],[Mass Scheme]],Axle_Data[Axle Code]&amp;Axle_Data[Mass Scheme],Axle_Data[MDL Maximum Mass (t)],"",0)</f>
        <v>22.5</v>
      </c>
      <c r="V172" cm="1">
        <f t="array" ref="V172">_xlfn.XLOOKUP(Mass_Data[[#This Row],[axle group 4]]&amp;Mass_Data[[#This Row],[Mass Scheme]],Axle_Data[Axle Code]&amp;Axle_Data[Mass Scheme],Axle_Data[MDL Maximum Mass (t)],"",0)</f>
        <v>22.5</v>
      </c>
      <c r="W172" t="str" cm="1">
        <f t="array" ref="W172">_xlfn.XLOOKUP(Mass_Data[[#This Row],[axle group 5]]&amp;Mass_Data[[#This Row],[Mass Scheme]],Axle_Data[Axle Code]&amp;Axle_Data[Mass Scheme],Axle_Data[MDL Maximum Mass (t)],"",0)</f>
        <v/>
      </c>
      <c r="X172" t="str" cm="1">
        <f t="array" ref="X172">_xlfn.XLOOKUP(Mass_Data[[#This Row],[axle group 6]]&amp;Mass_Data[[#This Row],[Mass Scheme]],Axle_Data[Axle Code]&amp;Axle_Data[Mass Scheme],Axle_Data[MDL Maximum Mass (t)],"",0)</f>
        <v/>
      </c>
      <c r="Y172" t="str" cm="1">
        <f t="array" ref="Y172">_xlfn.XLOOKUP(Mass_Data[[#This Row],[axle group 7]]&amp;Mass_Data[[#This Row],[Mass Scheme]],Axle_Data[Axle Code]&amp;Axle_Data[Mass Scheme],Axle_Data[MDL Maximum Mass (t)],"",0)</f>
        <v/>
      </c>
      <c r="Z172" s="81">
        <f>SUM(Mass_Data[[#This Row],[MDL axle group 1 mass]:[MDL axle group 7 mass]])</f>
        <v>68.5</v>
      </c>
      <c r="AA172">
        <f>Mass_Data[[#This Row],[Total (1)]]-Mass_Data[[#This Row],[GCM (t)]]</f>
        <v>0.5</v>
      </c>
      <c r="AB172" t="str">
        <f>IF(Mass_Data[[#This Row],[Difference between MDL and GCM]]=0,"YES","NO")</f>
        <v>NO</v>
      </c>
      <c r="AC172" s="22">
        <f>IFERROR(IF(Mass_Data[[#This Row],[Check (1)]]="YES",Mass_Data[[#This Row],[MDL axle group 1 mass]],Mass_Data[[#This Row],[MDL axle group 1 mass]]-(Mass_Data[[#This Row],[Difference between MDL and GCM]]*(Mass_Data[[#This Row],[MDL axle group 1 mass]]/Mass_Data[[#This Row],[Total (1)]]))),"")</f>
        <v>6.4525547445255471</v>
      </c>
      <c r="AD172" s="22">
        <f>IFERROR(IF(Mass_Data[[#This Row],[Check (1)]]="YES",Mass_Data[[#This Row],[MDL axle group 2 mass]],Mass_Data[[#This Row],[MDL axle group 2 mass]]-(Mass_Data[[#This Row],[Difference between MDL and GCM]]*(Mass_Data[[#This Row],[MDL axle group 2 mass]]/Mass_Data[[#This Row],[Total (1)]]))),"")</f>
        <v>16.875912408759124</v>
      </c>
      <c r="AE172" s="22">
        <f>IFERROR(IF(Mass_Data[[#This Row],[Check (1)]]="YES",Mass_Data[[#This Row],[MDL axle group 3 mass]],Mass_Data[[#This Row],[MDL axle group 3 mass]]-(Mass_Data[[#This Row],[Difference between MDL and GCM]]*(Mass_Data[[#This Row],[MDL axle group 3 mass]]/Mass_Data[[#This Row],[Total (1)]]))),"")</f>
        <v>22.335766423357665</v>
      </c>
      <c r="AF172" s="22">
        <f>IFERROR(IF(Mass_Data[[#This Row],[Check (1)]]="YES",Mass_Data[[#This Row],[MDL axle group 4 mass]],Mass_Data[[#This Row],[MDL axle group 4 mass]]-(Mass_Data[[#This Row],[Difference between MDL and GCM]]*(Mass_Data[[#This Row],[MDL axle group 4 mass]]/Mass_Data[[#This Row],[Total (1)]]))),"")</f>
        <v>22.335766423357665</v>
      </c>
      <c r="AG172" s="22" t="str">
        <f>IFERROR(IF(Mass_Data[[#This Row],[Check (1)]]="YES",Mass_Data[[#This Row],[MDL axle group 5 mass]],Mass_Data[[#This Row],[MDL axle group 5 mass]]-(Mass_Data[[#This Row],[Difference between MDL and GCM]]*(Mass_Data[[#This Row],[MDL axle group 5 mass]]/Mass_Data[[#This Row],[Total (1)]]))),"")</f>
        <v/>
      </c>
      <c r="AH172" s="22" t="str">
        <f>IFERROR(IF(Mass_Data[[#This Row],[Check (1)]]="YES",Mass_Data[[#This Row],[MDL axle group 6 mass]],Mass_Data[[#This Row],[MDL axle group 6 mass]]-(Mass_Data[[#This Row],[Difference between MDL and GCM]]*(Mass_Data[[#This Row],[MDL axle group 6 mass]]/Mass_Data[[#This Row],[Total (1)]]))),"")</f>
        <v/>
      </c>
      <c r="AI172" s="22" t="str">
        <f>IFERROR(IF(Mass_Data[[#This Row],[Check (1)]]="YES",Mass_Data[[#This Row],[MDL axle group 7 mass]],Mass_Data[[#This Row],[MDL axle group 7 mass]]-(Mass_Data[[#This Row],[Difference between MDL and GCM]]*(Mass_Data[[#This Row],[MDL axle group 7 mass]]/Mass_Data[[#This Row],[Total (1)]]))),"")</f>
        <v/>
      </c>
      <c r="AJ172" s="81">
        <f>SUM(Mass_Data[[#This Row],[Corrected axle group 1 mass]:[Corrected axle group 7 mass]])</f>
        <v>68</v>
      </c>
      <c r="AK172">
        <f>Mass_Data[[#This Row],[Total (2)]]-Mass_Data[[#This Row],[GCM (t)]]</f>
        <v>0</v>
      </c>
      <c r="AL172" s="22" t="str">
        <f>IF(Mass_Data[[#This Row],[Difference between MDL and corrected axle masses]]=0,"YES","NO")</f>
        <v>YES</v>
      </c>
    </row>
    <row r="173" spans="3:38" x14ac:dyDescent="0.35">
      <c r="C173" s="10" t="str">
        <f t="shared" si="2"/>
        <v>Conventional - 9-Axle A-Double (GML)</v>
      </c>
      <c r="D173" s="10" t="s">
        <v>178</v>
      </c>
      <c r="E173" s="10" t="s">
        <v>220</v>
      </c>
      <c r="F173" s="12" t="s">
        <v>18</v>
      </c>
      <c r="G173" s="11" t="s">
        <v>202</v>
      </c>
      <c r="H173" t="s">
        <v>64</v>
      </c>
      <c r="I173" s="9">
        <v>72</v>
      </c>
      <c r="J173" s="14">
        <v>43.12873574865673</v>
      </c>
      <c r="K173" s="14">
        <f>Mass_Data[[#This Row],[GCM (t)]]-Mass_Data[[#This Row],[Payload (t)]]</f>
        <v>28.87126425134327</v>
      </c>
      <c r="L173" t="s">
        <v>8</v>
      </c>
      <c r="M173" t="s">
        <v>9</v>
      </c>
      <c r="N173" t="s">
        <v>30</v>
      </c>
      <c r="O173" t="s">
        <v>30</v>
      </c>
      <c r="P173" t="s">
        <v>30</v>
      </c>
      <c r="Q173">
        <v>0</v>
      </c>
      <c r="R173">
        <v>0</v>
      </c>
      <c r="S173" cm="1">
        <f t="array" ref="S173">_xlfn.XLOOKUP(Mass_Data[[#This Row],[axle group 1]]&amp;Mass_Data[[#This Row],[Mass Scheme]],Axle_Data[Axle Code]&amp;Axle_Data[Mass Scheme],Axle_Data[MDL Maximum Mass (t)],"",0)</f>
        <v>6.5</v>
      </c>
      <c r="T173" cm="1">
        <f t="array" ref="T173">_xlfn.XLOOKUP(Mass_Data[[#This Row],[axle group 2]]&amp;Mass_Data[[#This Row],[Mass Scheme]],Axle_Data[Axle Code]&amp;Axle_Data[Mass Scheme],Axle_Data[MDL Maximum Mass (t)],"",0)</f>
        <v>16.5</v>
      </c>
      <c r="U173" cm="1">
        <f t="array" ref="U173">_xlfn.XLOOKUP(Mass_Data[[#This Row],[axle group 3]]&amp;Mass_Data[[#This Row],[Mass Scheme]],Axle_Data[Axle Code]&amp;Axle_Data[Mass Scheme],Axle_Data[MDL Maximum Mass (t)],"",0)</f>
        <v>16.5</v>
      </c>
      <c r="V173" cm="1">
        <f t="array" ref="V173">_xlfn.XLOOKUP(Mass_Data[[#This Row],[axle group 4]]&amp;Mass_Data[[#This Row],[Mass Scheme]],Axle_Data[Axle Code]&amp;Axle_Data[Mass Scheme],Axle_Data[MDL Maximum Mass (t)],"",0)</f>
        <v>16.5</v>
      </c>
      <c r="W173" cm="1">
        <f t="array" ref="W173">_xlfn.XLOOKUP(Mass_Data[[#This Row],[axle group 5]]&amp;Mass_Data[[#This Row],[Mass Scheme]],Axle_Data[Axle Code]&amp;Axle_Data[Mass Scheme],Axle_Data[MDL Maximum Mass (t)],"",0)</f>
        <v>16.5</v>
      </c>
      <c r="X173" t="str" cm="1">
        <f t="array" ref="X173">_xlfn.XLOOKUP(Mass_Data[[#This Row],[axle group 6]]&amp;Mass_Data[[#This Row],[Mass Scheme]],Axle_Data[Axle Code]&amp;Axle_Data[Mass Scheme],Axle_Data[MDL Maximum Mass (t)],"",0)</f>
        <v/>
      </c>
      <c r="Y173" t="str" cm="1">
        <f t="array" ref="Y173">_xlfn.XLOOKUP(Mass_Data[[#This Row],[axle group 7]]&amp;Mass_Data[[#This Row],[Mass Scheme]],Axle_Data[Axle Code]&amp;Axle_Data[Mass Scheme],Axle_Data[MDL Maximum Mass (t)],"",0)</f>
        <v/>
      </c>
      <c r="Z173" s="81">
        <f>SUM(Mass_Data[[#This Row],[MDL axle group 1 mass]:[MDL axle group 7 mass]])</f>
        <v>72.5</v>
      </c>
      <c r="AA173">
        <f>Mass_Data[[#This Row],[Total (1)]]-Mass_Data[[#This Row],[GCM (t)]]</f>
        <v>0.5</v>
      </c>
      <c r="AB173" t="str">
        <f>IF(Mass_Data[[#This Row],[Difference between MDL and GCM]]=0,"YES","NO")</f>
        <v>NO</v>
      </c>
      <c r="AC173" s="22">
        <f>IFERROR(IF(Mass_Data[[#This Row],[Check (1)]]="YES",Mass_Data[[#This Row],[MDL axle group 1 mass]],Mass_Data[[#This Row],[MDL axle group 1 mass]]-(Mass_Data[[#This Row],[Difference between MDL and GCM]]*(Mass_Data[[#This Row],[MDL axle group 1 mass]]/Mass_Data[[#This Row],[Total (1)]]))),"")</f>
        <v>6.455172413793103</v>
      </c>
      <c r="AD173" s="22">
        <f>IFERROR(IF(Mass_Data[[#This Row],[Check (1)]]="YES",Mass_Data[[#This Row],[MDL axle group 2 mass]],Mass_Data[[#This Row],[MDL axle group 2 mass]]-(Mass_Data[[#This Row],[Difference between MDL and GCM]]*(Mass_Data[[#This Row],[MDL axle group 2 mass]]/Mass_Data[[#This Row],[Total (1)]]))),"")</f>
        <v>16.386206896551723</v>
      </c>
      <c r="AE173" s="22">
        <f>IFERROR(IF(Mass_Data[[#This Row],[Check (1)]]="YES",Mass_Data[[#This Row],[MDL axle group 3 mass]],Mass_Data[[#This Row],[MDL axle group 3 mass]]-(Mass_Data[[#This Row],[Difference between MDL and GCM]]*(Mass_Data[[#This Row],[MDL axle group 3 mass]]/Mass_Data[[#This Row],[Total (1)]]))),"")</f>
        <v>16.386206896551723</v>
      </c>
      <c r="AF173" s="22">
        <f>IFERROR(IF(Mass_Data[[#This Row],[Check (1)]]="YES",Mass_Data[[#This Row],[MDL axle group 4 mass]],Mass_Data[[#This Row],[MDL axle group 4 mass]]-(Mass_Data[[#This Row],[Difference between MDL and GCM]]*(Mass_Data[[#This Row],[MDL axle group 4 mass]]/Mass_Data[[#This Row],[Total (1)]]))),"")</f>
        <v>16.386206896551723</v>
      </c>
      <c r="AG173" s="22">
        <f>IFERROR(IF(Mass_Data[[#This Row],[Check (1)]]="YES",Mass_Data[[#This Row],[MDL axle group 5 mass]],Mass_Data[[#This Row],[MDL axle group 5 mass]]-(Mass_Data[[#This Row],[Difference between MDL and GCM]]*(Mass_Data[[#This Row],[MDL axle group 5 mass]]/Mass_Data[[#This Row],[Total (1)]]))),"")</f>
        <v>16.386206896551723</v>
      </c>
      <c r="AH173" s="22" t="str">
        <f>IFERROR(IF(Mass_Data[[#This Row],[Check (1)]]="YES",Mass_Data[[#This Row],[MDL axle group 6 mass]],Mass_Data[[#This Row],[MDL axle group 6 mass]]-(Mass_Data[[#This Row],[Difference between MDL and GCM]]*(Mass_Data[[#This Row],[MDL axle group 6 mass]]/Mass_Data[[#This Row],[Total (1)]]))),"")</f>
        <v/>
      </c>
      <c r="AI173" s="22" t="str">
        <f>IFERROR(IF(Mass_Data[[#This Row],[Check (1)]]="YES",Mass_Data[[#This Row],[MDL axle group 7 mass]],Mass_Data[[#This Row],[MDL axle group 7 mass]]-(Mass_Data[[#This Row],[Difference between MDL and GCM]]*(Mass_Data[[#This Row],[MDL axle group 7 mass]]/Mass_Data[[#This Row],[Total (1)]]))),"")</f>
        <v/>
      </c>
      <c r="AJ173" s="81">
        <f>SUM(Mass_Data[[#This Row],[Corrected axle group 1 mass]:[Corrected axle group 7 mass]])</f>
        <v>72</v>
      </c>
      <c r="AK173">
        <f>Mass_Data[[#This Row],[Total (2)]]-Mass_Data[[#This Row],[GCM (t)]]</f>
        <v>0</v>
      </c>
      <c r="AL173" s="22" t="str">
        <f>IF(Mass_Data[[#This Row],[Difference between MDL and corrected axle masses]]=0,"YES","NO")</f>
        <v>YES</v>
      </c>
    </row>
    <row r="174" spans="3:38" x14ac:dyDescent="0.35">
      <c r="C174" s="10" t="str">
        <f t="shared" si="2"/>
        <v>Conventional - 9-Axle A-Double (CML)</v>
      </c>
      <c r="D174" s="10" t="s">
        <v>178</v>
      </c>
      <c r="E174" s="10" t="s">
        <v>220</v>
      </c>
      <c r="F174" s="12" t="s">
        <v>20</v>
      </c>
      <c r="G174" s="11" t="s">
        <v>202</v>
      </c>
      <c r="H174" t="s">
        <v>64</v>
      </c>
      <c r="I174" s="9">
        <v>74</v>
      </c>
      <c r="J174" s="14">
        <v>45.12873574865673</v>
      </c>
      <c r="K174" s="14">
        <f>Mass_Data[[#This Row],[GCM (t)]]-Mass_Data[[#This Row],[Payload (t)]]</f>
        <v>28.87126425134327</v>
      </c>
      <c r="L174" t="s">
        <v>8</v>
      </c>
      <c r="M174" t="s">
        <v>9</v>
      </c>
      <c r="N174" t="s">
        <v>30</v>
      </c>
      <c r="O174" t="s">
        <v>30</v>
      </c>
      <c r="P174" t="s">
        <v>30</v>
      </c>
      <c r="Q174">
        <v>0</v>
      </c>
      <c r="R174">
        <v>0</v>
      </c>
      <c r="S174" cm="1">
        <f t="array" ref="S174">_xlfn.XLOOKUP(Mass_Data[[#This Row],[axle group 1]]&amp;Mass_Data[[#This Row],[Mass Scheme]],Axle_Data[Axle Code]&amp;Axle_Data[Mass Scheme],Axle_Data[MDL Maximum Mass (t)],"",0)</f>
        <v>6.5</v>
      </c>
      <c r="T174" cm="1">
        <f t="array" ref="T174">_xlfn.XLOOKUP(Mass_Data[[#This Row],[axle group 2]]&amp;Mass_Data[[#This Row],[Mass Scheme]],Axle_Data[Axle Code]&amp;Axle_Data[Mass Scheme],Axle_Data[MDL Maximum Mass (t)],"",0)</f>
        <v>17</v>
      </c>
      <c r="U174" cm="1">
        <f t="array" ref="U174">_xlfn.XLOOKUP(Mass_Data[[#This Row],[axle group 3]]&amp;Mass_Data[[#This Row],[Mass Scheme]],Axle_Data[Axle Code]&amp;Axle_Data[Mass Scheme],Axle_Data[MDL Maximum Mass (t)],"",0)</f>
        <v>17</v>
      </c>
      <c r="V174" cm="1">
        <f t="array" ref="V174">_xlfn.XLOOKUP(Mass_Data[[#This Row],[axle group 4]]&amp;Mass_Data[[#This Row],[Mass Scheme]],Axle_Data[Axle Code]&amp;Axle_Data[Mass Scheme],Axle_Data[MDL Maximum Mass (t)],"",0)</f>
        <v>17</v>
      </c>
      <c r="W174" cm="1">
        <f t="array" ref="W174">_xlfn.XLOOKUP(Mass_Data[[#This Row],[axle group 5]]&amp;Mass_Data[[#This Row],[Mass Scheme]],Axle_Data[Axle Code]&amp;Axle_Data[Mass Scheme],Axle_Data[MDL Maximum Mass (t)],"",0)</f>
        <v>17</v>
      </c>
      <c r="X174" t="str" cm="1">
        <f t="array" ref="X174">_xlfn.XLOOKUP(Mass_Data[[#This Row],[axle group 6]]&amp;Mass_Data[[#This Row],[Mass Scheme]],Axle_Data[Axle Code]&amp;Axle_Data[Mass Scheme],Axle_Data[MDL Maximum Mass (t)],"",0)</f>
        <v/>
      </c>
      <c r="Y174" t="str" cm="1">
        <f t="array" ref="Y174">_xlfn.XLOOKUP(Mass_Data[[#This Row],[axle group 7]]&amp;Mass_Data[[#This Row],[Mass Scheme]],Axle_Data[Axle Code]&amp;Axle_Data[Mass Scheme],Axle_Data[MDL Maximum Mass (t)],"",0)</f>
        <v/>
      </c>
      <c r="Z174" s="81">
        <f>SUM(Mass_Data[[#This Row],[MDL axle group 1 mass]:[MDL axle group 7 mass]])</f>
        <v>74.5</v>
      </c>
      <c r="AA174">
        <f>Mass_Data[[#This Row],[Total (1)]]-Mass_Data[[#This Row],[GCM (t)]]</f>
        <v>0.5</v>
      </c>
      <c r="AB174" t="str">
        <f>IF(Mass_Data[[#This Row],[Difference between MDL and GCM]]=0,"YES","NO")</f>
        <v>NO</v>
      </c>
      <c r="AC174" s="22">
        <f>IFERROR(IF(Mass_Data[[#This Row],[Check (1)]]="YES",Mass_Data[[#This Row],[MDL axle group 1 mass]],Mass_Data[[#This Row],[MDL axle group 1 mass]]-(Mass_Data[[#This Row],[Difference between MDL and GCM]]*(Mass_Data[[#This Row],[MDL axle group 1 mass]]/Mass_Data[[#This Row],[Total (1)]]))),"")</f>
        <v>6.4563758389261743</v>
      </c>
      <c r="AD174" s="22">
        <f>IFERROR(IF(Mass_Data[[#This Row],[Check (1)]]="YES",Mass_Data[[#This Row],[MDL axle group 2 mass]],Mass_Data[[#This Row],[MDL axle group 2 mass]]-(Mass_Data[[#This Row],[Difference between MDL and GCM]]*(Mass_Data[[#This Row],[MDL axle group 2 mass]]/Mass_Data[[#This Row],[Total (1)]]))),"")</f>
        <v>16.885906040268456</v>
      </c>
      <c r="AE174" s="22">
        <f>IFERROR(IF(Mass_Data[[#This Row],[Check (1)]]="YES",Mass_Data[[#This Row],[MDL axle group 3 mass]],Mass_Data[[#This Row],[MDL axle group 3 mass]]-(Mass_Data[[#This Row],[Difference between MDL and GCM]]*(Mass_Data[[#This Row],[MDL axle group 3 mass]]/Mass_Data[[#This Row],[Total (1)]]))),"")</f>
        <v>16.885906040268456</v>
      </c>
      <c r="AF174" s="22">
        <f>IFERROR(IF(Mass_Data[[#This Row],[Check (1)]]="YES",Mass_Data[[#This Row],[MDL axle group 4 mass]],Mass_Data[[#This Row],[MDL axle group 4 mass]]-(Mass_Data[[#This Row],[Difference between MDL and GCM]]*(Mass_Data[[#This Row],[MDL axle group 4 mass]]/Mass_Data[[#This Row],[Total (1)]]))),"")</f>
        <v>16.885906040268456</v>
      </c>
      <c r="AG174" s="22">
        <f>IFERROR(IF(Mass_Data[[#This Row],[Check (1)]]="YES",Mass_Data[[#This Row],[MDL axle group 5 mass]],Mass_Data[[#This Row],[MDL axle group 5 mass]]-(Mass_Data[[#This Row],[Difference between MDL and GCM]]*(Mass_Data[[#This Row],[MDL axle group 5 mass]]/Mass_Data[[#This Row],[Total (1)]]))),"")</f>
        <v>16.885906040268456</v>
      </c>
      <c r="AH174" s="22" t="str">
        <f>IFERROR(IF(Mass_Data[[#This Row],[Check (1)]]="YES",Mass_Data[[#This Row],[MDL axle group 6 mass]],Mass_Data[[#This Row],[MDL axle group 6 mass]]-(Mass_Data[[#This Row],[Difference between MDL and GCM]]*(Mass_Data[[#This Row],[MDL axle group 6 mass]]/Mass_Data[[#This Row],[Total (1)]]))),"")</f>
        <v/>
      </c>
      <c r="AI174" s="22" t="str">
        <f>IFERROR(IF(Mass_Data[[#This Row],[Check (1)]]="YES",Mass_Data[[#This Row],[MDL axle group 7 mass]],Mass_Data[[#This Row],[MDL axle group 7 mass]]-(Mass_Data[[#This Row],[Difference between MDL and GCM]]*(Mass_Data[[#This Row],[MDL axle group 7 mass]]/Mass_Data[[#This Row],[Total (1)]]))),"")</f>
        <v/>
      </c>
      <c r="AJ174" s="81">
        <f>SUM(Mass_Data[[#This Row],[Corrected axle group 1 mass]:[Corrected axle group 7 mass]])</f>
        <v>73.999999999999986</v>
      </c>
      <c r="AK174">
        <f>Mass_Data[[#This Row],[Total (2)]]-Mass_Data[[#This Row],[GCM (t)]]</f>
        <v>0</v>
      </c>
      <c r="AL174" s="22" t="str">
        <f>IF(Mass_Data[[#This Row],[Difference between MDL and corrected axle masses]]=0,"YES","NO")</f>
        <v>YES</v>
      </c>
    </row>
    <row r="175" spans="3:38" x14ac:dyDescent="0.35">
      <c r="C175" s="10" t="str">
        <f t="shared" si="2"/>
        <v>Conventional - 9-Axle A-Double (HML)</v>
      </c>
      <c r="D175" s="10" t="s">
        <v>178</v>
      </c>
      <c r="E175" s="10" t="s">
        <v>220</v>
      </c>
      <c r="F175" s="12" t="s">
        <v>7</v>
      </c>
      <c r="G175" s="11" t="s">
        <v>202</v>
      </c>
      <c r="H175" t="s">
        <v>64</v>
      </c>
      <c r="I175" s="9">
        <v>74</v>
      </c>
      <c r="J175" s="14">
        <v>45.12873574865673</v>
      </c>
      <c r="K175" s="14">
        <f>Mass_Data[[#This Row],[GCM (t)]]-Mass_Data[[#This Row],[Payload (t)]]</f>
        <v>28.87126425134327</v>
      </c>
      <c r="L175" t="s">
        <v>8</v>
      </c>
      <c r="M175" t="s">
        <v>9</v>
      </c>
      <c r="N175" t="s">
        <v>30</v>
      </c>
      <c r="O175" t="s">
        <v>30</v>
      </c>
      <c r="P175" t="s">
        <v>30</v>
      </c>
      <c r="Q175">
        <v>0</v>
      </c>
      <c r="R175">
        <v>0</v>
      </c>
      <c r="S175" cm="1">
        <f t="array" ref="S175">_xlfn.XLOOKUP(Mass_Data[[#This Row],[axle group 1]]&amp;Mass_Data[[#This Row],[Mass Scheme]],Axle_Data[Axle Code]&amp;Axle_Data[Mass Scheme],Axle_Data[MDL Maximum Mass (t)],"",0)</f>
        <v>6.5</v>
      </c>
      <c r="T175" cm="1">
        <f t="array" ref="T175">_xlfn.XLOOKUP(Mass_Data[[#This Row],[axle group 2]]&amp;Mass_Data[[#This Row],[Mass Scheme]],Axle_Data[Axle Code]&amp;Axle_Data[Mass Scheme],Axle_Data[MDL Maximum Mass (t)],"",0)</f>
        <v>17</v>
      </c>
      <c r="U175" cm="1">
        <f t="array" ref="U175">_xlfn.XLOOKUP(Mass_Data[[#This Row],[axle group 3]]&amp;Mass_Data[[#This Row],[Mass Scheme]],Axle_Data[Axle Code]&amp;Axle_Data[Mass Scheme],Axle_Data[MDL Maximum Mass (t)],"",0)</f>
        <v>17</v>
      </c>
      <c r="V175" cm="1">
        <f t="array" ref="V175">_xlfn.XLOOKUP(Mass_Data[[#This Row],[axle group 4]]&amp;Mass_Data[[#This Row],[Mass Scheme]],Axle_Data[Axle Code]&amp;Axle_Data[Mass Scheme],Axle_Data[MDL Maximum Mass (t)],"",0)</f>
        <v>17</v>
      </c>
      <c r="W175" cm="1">
        <f t="array" ref="W175">_xlfn.XLOOKUP(Mass_Data[[#This Row],[axle group 5]]&amp;Mass_Data[[#This Row],[Mass Scheme]],Axle_Data[Axle Code]&amp;Axle_Data[Mass Scheme],Axle_Data[MDL Maximum Mass (t)],"",0)</f>
        <v>17</v>
      </c>
      <c r="X175" t="str" cm="1">
        <f t="array" ref="X175">_xlfn.XLOOKUP(Mass_Data[[#This Row],[axle group 6]]&amp;Mass_Data[[#This Row],[Mass Scheme]],Axle_Data[Axle Code]&amp;Axle_Data[Mass Scheme],Axle_Data[MDL Maximum Mass (t)],"",0)</f>
        <v/>
      </c>
      <c r="Y175" t="str" cm="1">
        <f t="array" ref="Y175">_xlfn.XLOOKUP(Mass_Data[[#This Row],[axle group 7]]&amp;Mass_Data[[#This Row],[Mass Scheme]],Axle_Data[Axle Code]&amp;Axle_Data[Mass Scheme],Axle_Data[MDL Maximum Mass (t)],"",0)</f>
        <v/>
      </c>
      <c r="Z175" s="81">
        <f>SUM(Mass_Data[[#This Row],[MDL axle group 1 mass]:[MDL axle group 7 mass]])</f>
        <v>74.5</v>
      </c>
      <c r="AA175">
        <f>Mass_Data[[#This Row],[Total (1)]]-Mass_Data[[#This Row],[GCM (t)]]</f>
        <v>0.5</v>
      </c>
      <c r="AB175" t="str">
        <f>IF(Mass_Data[[#This Row],[Difference between MDL and GCM]]=0,"YES","NO")</f>
        <v>NO</v>
      </c>
      <c r="AC175" s="22">
        <f>IFERROR(IF(Mass_Data[[#This Row],[Check (1)]]="YES",Mass_Data[[#This Row],[MDL axle group 1 mass]],Mass_Data[[#This Row],[MDL axle group 1 mass]]-(Mass_Data[[#This Row],[Difference between MDL and GCM]]*(Mass_Data[[#This Row],[MDL axle group 1 mass]]/Mass_Data[[#This Row],[Total (1)]]))),"")</f>
        <v>6.4563758389261743</v>
      </c>
      <c r="AD175" s="22">
        <f>IFERROR(IF(Mass_Data[[#This Row],[Check (1)]]="YES",Mass_Data[[#This Row],[MDL axle group 2 mass]],Mass_Data[[#This Row],[MDL axle group 2 mass]]-(Mass_Data[[#This Row],[Difference between MDL and GCM]]*(Mass_Data[[#This Row],[MDL axle group 2 mass]]/Mass_Data[[#This Row],[Total (1)]]))),"")</f>
        <v>16.885906040268456</v>
      </c>
      <c r="AE175" s="22">
        <f>IFERROR(IF(Mass_Data[[#This Row],[Check (1)]]="YES",Mass_Data[[#This Row],[MDL axle group 3 mass]],Mass_Data[[#This Row],[MDL axle group 3 mass]]-(Mass_Data[[#This Row],[Difference between MDL and GCM]]*(Mass_Data[[#This Row],[MDL axle group 3 mass]]/Mass_Data[[#This Row],[Total (1)]]))),"")</f>
        <v>16.885906040268456</v>
      </c>
      <c r="AF175" s="22">
        <f>IFERROR(IF(Mass_Data[[#This Row],[Check (1)]]="YES",Mass_Data[[#This Row],[MDL axle group 4 mass]],Mass_Data[[#This Row],[MDL axle group 4 mass]]-(Mass_Data[[#This Row],[Difference between MDL and GCM]]*(Mass_Data[[#This Row],[MDL axle group 4 mass]]/Mass_Data[[#This Row],[Total (1)]]))),"")</f>
        <v>16.885906040268456</v>
      </c>
      <c r="AG175" s="22">
        <f>IFERROR(IF(Mass_Data[[#This Row],[Check (1)]]="YES",Mass_Data[[#This Row],[MDL axle group 5 mass]],Mass_Data[[#This Row],[MDL axle group 5 mass]]-(Mass_Data[[#This Row],[Difference between MDL and GCM]]*(Mass_Data[[#This Row],[MDL axle group 5 mass]]/Mass_Data[[#This Row],[Total (1)]]))),"")</f>
        <v>16.885906040268456</v>
      </c>
      <c r="AH175" s="22" t="str">
        <f>IFERROR(IF(Mass_Data[[#This Row],[Check (1)]]="YES",Mass_Data[[#This Row],[MDL axle group 6 mass]],Mass_Data[[#This Row],[MDL axle group 6 mass]]-(Mass_Data[[#This Row],[Difference between MDL and GCM]]*(Mass_Data[[#This Row],[MDL axle group 6 mass]]/Mass_Data[[#This Row],[Total (1)]]))),"")</f>
        <v/>
      </c>
      <c r="AI175" s="22" t="str">
        <f>IFERROR(IF(Mass_Data[[#This Row],[Check (1)]]="YES",Mass_Data[[#This Row],[MDL axle group 7 mass]],Mass_Data[[#This Row],[MDL axle group 7 mass]]-(Mass_Data[[#This Row],[Difference between MDL and GCM]]*(Mass_Data[[#This Row],[MDL axle group 7 mass]]/Mass_Data[[#This Row],[Total (1)]]))),"")</f>
        <v/>
      </c>
      <c r="AJ175" s="81">
        <f>SUM(Mass_Data[[#This Row],[Corrected axle group 1 mass]:[Corrected axle group 7 mass]])</f>
        <v>73.999999999999986</v>
      </c>
      <c r="AK175">
        <f>Mass_Data[[#This Row],[Total (2)]]-Mass_Data[[#This Row],[GCM (t)]]</f>
        <v>0</v>
      </c>
      <c r="AL175" s="22" t="str">
        <f>IF(Mass_Data[[#This Row],[Difference between MDL and corrected axle masses]]=0,"YES","NO")</f>
        <v>YES</v>
      </c>
    </row>
    <row r="176" spans="3:38" x14ac:dyDescent="0.35">
      <c r="C176" s="10" t="str">
        <f t="shared" si="2"/>
        <v>Conventional - 11-Axle A-Double (GML)</v>
      </c>
      <c r="D176" s="10" t="s">
        <v>176</v>
      </c>
      <c r="E176" s="10" t="s">
        <v>220</v>
      </c>
      <c r="F176" s="12" t="s">
        <v>18</v>
      </c>
      <c r="G176" s="11" t="s">
        <v>202</v>
      </c>
      <c r="H176" t="s">
        <v>67</v>
      </c>
      <c r="I176" s="9">
        <v>79</v>
      </c>
      <c r="J176" s="14">
        <v>50.091223584597053</v>
      </c>
      <c r="K176" s="14">
        <f>Mass_Data[[#This Row],[GCM (t)]]-Mass_Data[[#This Row],[Payload (t)]]</f>
        <v>28.908776415402947</v>
      </c>
      <c r="L176" t="s">
        <v>8</v>
      </c>
      <c r="M176" t="s">
        <v>9</v>
      </c>
      <c r="N176" t="s">
        <v>10</v>
      </c>
      <c r="O176" t="s">
        <v>30</v>
      </c>
      <c r="P176" t="s">
        <v>10</v>
      </c>
      <c r="Q176">
        <v>0</v>
      </c>
      <c r="R176">
        <v>0</v>
      </c>
      <c r="S176" cm="1">
        <f t="array" ref="S176">_xlfn.XLOOKUP(Mass_Data[[#This Row],[axle group 1]]&amp;Mass_Data[[#This Row],[Mass Scheme]],Axle_Data[Axle Code]&amp;Axle_Data[Mass Scheme],Axle_Data[MDL Maximum Mass (t)],"",0)</f>
        <v>6.5</v>
      </c>
      <c r="T176" cm="1">
        <f t="array" ref="T176">_xlfn.XLOOKUP(Mass_Data[[#This Row],[axle group 2]]&amp;Mass_Data[[#This Row],[Mass Scheme]],Axle_Data[Axle Code]&amp;Axle_Data[Mass Scheme],Axle_Data[MDL Maximum Mass (t)],"",0)</f>
        <v>16.5</v>
      </c>
      <c r="U176" cm="1">
        <f t="array" ref="U176">_xlfn.XLOOKUP(Mass_Data[[#This Row],[axle group 3]]&amp;Mass_Data[[#This Row],[Mass Scheme]],Axle_Data[Axle Code]&amp;Axle_Data[Mass Scheme],Axle_Data[MDL Maximum Mass (t)],"",0)</f>
        <v>20</v>
      </c>
      <c r="V176" cm="1">
        <f t="array" ref="V176">_xlfn.XLOOKUP(Mass_Data[[#This Row],[axle group 4]]&amp;Mass_Data[[#This Row],[Mass Scheme]],Axle_Data[Axle Code]&amp;Axle_Data[Mass Scheme],Axle_Data[MDL Maximum Mass (t)],"",0)</f>
        <v>16.5</v>
      </c>
      <c r="W176" cm="1">
        <f t="array" ref="W176">_xlfn.XLOOKUP(Mass_Data[[#This Row],[axle group 5]]&amp;Mass_Data[[#This Row],[Mass Scheme]],Axle_Data[Axle Code]&amp;Axle_Data[Mass Scheme],Axle_Data[MDL Maximum Mass (t)],"",0)</f>
        <v>20</v>
      </c>
      <c r="X176" t="str" cm="1">
        <f t="array" ref="X176">_xlfn.XLOOKUP(Mass_Data[[#This Row],[axle group 6]]&amp;Mass_Data[[#This Row],[Mass Scheme]],Axle_Data[Axle Code]&amp;Axle_Data[Mass Scheme],Axle_Data[MDL Maximum Mass (t)],"",0)</f>
        <v/>
      </c>
      <c r="Y176" t="str" cm="1">
        <f t="array" ref="Y176">_xlfn.XLOOKUP(Mass_Data[[#This Row],[axle group 7]]&amp;Mass_Data[[#This Row],[Mass Scheme]],Axle_Data[Axle Code]&amp;Axle_Data[Mass Scheme],Axle_Data[MDL Maximum Mass (t)],"",0)</f>
        <v/>
      </c>
      <c r="Z176" s="81">
        <f>SUM(Mass_Data[[#This Row],[MDL axle group 1 mass]:[MDL axle group 7 mass]])</f>
        <v>79.5</v>
      </c>
      <c r="AA176">
        <f>Mass_Data[[#This Row],[Total (1)]]-Mass_Data[[#This Row],[GCM (t)]]</f>
        <v>0.5</v>
      </c>
      <c r="AB176" t="str">
        <f>IF(Mass_Data[[#This Row],[Difference between MDL and GCM]]=0,"YES","NO")</f>
        <v>NO</v>
      </c>
      <c r="AC176" s="22">
        <f>IFERROR(IF(Mass_Data[[#This Row],[Check (1)]]="YES",Mass_Data[[#This Row],[MDL axle group 1 mass]],Mass_Data[[#This Row],[MDL axle group 1 mass]]-(Mass_Data[[#This Row],[Difference between MDL and GCM]]*(Mass_Data[[#This Row],[MDL axle group 1 mass]]/Mass_Data[[#This Row],[Total (1)]]))),"")</f>
        <v>6.4591194968553456</v>
      </c>
      <c r="AD176" s="22">
        <f>IFERROR(IF(Mass_Data[[#This Row],[Check (1)]]="YES",Mass_Data[[#This Row],[MDL axle group 2 mass]],Mass_Data[[#This Row],[MDL axle group 2 mass]]-(Mass_Data[[#This Row],[Difference between MDL and GCM]]*(Mass_Data[[#This Row],[MDL axle group 2 mass]]/Mass_Data[[#This Row],[Total (1)]]))),"")</f>
        <v>16.39622641509434</v>
      </c>
      <c r="AE176" s="22">
        <f>IFERROR(IF(Mass_Data[[#This Row],[Check (1)]]="YES",Mass_Data[[#This Row],[MDL axle group 3 mass]],Mass_Data[[#This Row],[MDL axle group 3 mass]]-(Mass_Data[[#This Row],[Difference between MDL and GCM]]*(Mass_Data[[#This Row],[MDL axle group 3 mass]]/Mass_Data[[#This Row],[Total (1)]]))),"")</f>
        <v>19.874213836477988</v>
      </c>
      <c r="AF176" s="22">
        <f>IFERROR(IF(Mass_Data[[#This Row],[Check (1)]]="YES",Mass_Data[[#This Row],[MDL axle group 4 mass]],Mass_Data[[#This Row],[MDL axle group 4 mass]]-(Mass_Data[[#This Row],[Difference between MDL and GCM]]*(Mass_Data[[#This Row],[MDL axle group 4 mass]]/Mass_Data[[#This Row],[Total (1)]]))),"")</f>
        <v>16.39622641509434</v>
      </c>
      <c r="AG176" s="22">
        <f>IFERROR(IF(Mass_Data[[#This Row],[Check (1)]]="YES",Mass_Data[[#This Row],[MDL axle group 5 mass]],Mass_Data[[#This Row],[MDL axle group 5 mass]]-(Mass_Data[[#This Row],[Difference between MDL and GCM]]*(Mass_Data[[#This Row],[MDL axle group 5 mass]]/Mass_Data[[#This Row],[Total (1)]]))),"")</f>
        <v>19.874213836477988</v>
      </c>
      <c r="AH176" s="22" t="str">
        <f>IFERROR(IF(Mass_Data[[#This Row],[Check (1)]]="YES",Mass_Data[[#This Row],[MDL axle group 6 mass]],Mass_Data[[#This Row],[MDL axle group 6 mass]]-(Mass_Data[[#This Row],[Difference between MDL and GCM]]*(Mass_Data[[#This Row],[MDL axle group 6 mass]]/Mass_Data[[#This Row],[Total (1)]]))),"")</f>
        <v/>
      </c>
      <c r="AI176" s="22" t="str">
        <f>IFERROR(IF(Mass_Data[[#This Row],[Check (1)]]="YES",Mass_Data[[#This Row],[MDL axle group 7 mass]],Mass_Data[[#This Row],[MDL axle group 7 mass]]-(Mass_Data[[#This Row],[Difference between MDL and GCM]]*(Mass_Data[[#This Row],[MDL axle group 7 mass]]/Mass_Data[[#This Row],[Total (1)]]))),"")</f>
        <v/>
      </c>
      <c r="AJ176" s="81">
        <f>SUM(Mass_Data[[#This Row],[Corrected axle group 1 mass]:[Corrected axle group 7 mass]])</f>
        <v>79</v>
      </c>
      <c r="AK176">
        <f>Mass_Data[[#This Row],[Total (2)]]-Mass_Data[[#This Row],[GCM (t)]]</f>
        <v>0</v>
      </c>
      <c r="AL176" s="22" t="str">
        <f>IF(Mass_Data[[#This Row],[Difference between MDL and corrected axle masses]]=0,"YES","NO")</f>
        <v>YES</v>
      </c>
    </row>
    <row r="177" spans="3:38" x14ac:dyDescent="0.35">
      <c r="C177" s="10" t="str">
        <f t="shared" si="2"/>
        <v>Conventional - 11-Axle A-Double (CML)</v>
      </c>
      <c r="D177" s="10" t="s">
        <v>176</v>
      </c>
      <c r="E177" s="10" t="s">
        <v>220</v>
      </c>
      <c r="F177" s="12" t="s">
        <v>20</v>
      </c>
      <c r="G177" s="11" t="s">
        <v>202</v>
      </c>
      <c r="H177" t="s">
        <v>67</v>
      </c>
      <c r="I177" s="9">
        <v>81</v>
      </c>
      <c r="J177" s="14">
        <v>52.091223584597053</v>
      </c>
      <c r="K177" s="14">
        <f>Mass_Data[[#This Row],[GCM (t)]]-Mass_Data[[#This Row],[Payload (t)]]</f>
        <v>28.908776415402947</v>
      </c>
      <c r="L177" t="s">
        <v>8</v>
      </c>
      <c r="M177" t="s">
        <v>9</v>
      </c>
      <c r="N177" t="s">
        <v>10</v>
      </c>
      <c r="O177" t="s">
        <v>30</v>
      </c>
      <c r="P177" t="s">
        <v>10</v>
      </c>
      <c r="Q177">
        <v>0</v>
      </c>
      <c r="R177">
        <v>0</v>
      </c>
      <c r="S177" cm="1">
        <f t="array" ref="S177">_xlfn.XLOOKUP(Mass_Data[[#This Row],[axle group 1]]&amp;Mass_Data[[#This Row],[Mass Scheme]],Axle_Data[Axle Code]&amp;Axle_Data[Mass Scheme],Axle_Data[MDL Maximum Mass (t)],"",0)</f>
        <v>6.5</v>
      </c>
      <c r="T177" cm="1">
        <f t="array" ref="T177">_xlfn.XLOOKUP(Mass_Data[[#This Row],[axle group 2]]&amp;Mass_Data[[#This Row],[Mass Scheme]],Axle_Data[Axle Code]&amp;Axle_Data[Mass Scheme],Axle_Data[MDL Maximum Mass (t)],"",0)</f>
        <v>17</v>
      </c>
      <c r="U177" cm="1">
        <f t="array" ref="U177">_xlfn.XLOOKUP(Mass_Data[[#This Row],[axle group 3]]&amp;Mass_Data[[#This Row],[Mass Scheme]],Axle_Data[Axle Code]&amp;Axle_Data[Mass Scheme],Axle_Data[MDL Maximum Mass (t)],"",0)</f>
        <v>21</v>
      </c>
      <c r="V177" cm="1">
        <f t="array" ref="V177">_xlfn.XLOOKUP(Mass_Data[[#This Row],[axle group 4]]&amp;Mass_Data[[#This Row],[Mass Scheme]],Axle_Data[Axle Code]&amp;Axle_Data[Mass Scheme],Axle_Data[MDL Maximum Mass (t)],"",0)</f>
        <v>17</v>
      </c>
      <c r="W177" cm="1">
        <f t="array" ref="W177">_xlfn.XLOOKUP(Mass_Data[[#This Row],[axle group 5]]&amp;Mass_Data[[#This Row],[Mass Scheme]],Axle_Data[Axle Code]&amp;Axle_Data[Mass Scheme],Axle_Data[MDL Maximum Mass (t)],"",0)</f>
        <v>21</v>
      </c>
      <c r="X177" t="str" cm="1">
        <f t="array" ref="X177">_xlfn.XLOOKUP(Mass_Data[[#This Row],[axle group 6]]&amp;Mass_Data[[#This Row],[Mass Scheme]],Axle_Data[Axle Code]&amp;Axle_Data[Mass Scheme],Axle_Data[MDL Maximum Mass (t)],"",0)</f>
        <v/>
      </c>
      <c r="Y177" t="str" cm="1">
        <f t="array" ref="Y177">_xlfn.XLOOKUP(Mass_Data[[#This Row],[axle group 7]]&amp;Mass_Data[[#This Row],[Mass Scheme]],Axle_Data[Axle Code]&amp;Axle_Data[Mass Scheme],Axle_Data[MDL Maximum Mass (t)],"",0)</f>
        <v/>
      </c>
      <c r="Z177" s="81">
        <f>SUM(Mass_Data[[#This Row],[MDL axle group 1 mass]:[MDL axle group 7 mass]])</f>
        <v>82.5</v>
      </c>
      <c r="AA177">
        <f>Mass_Data[[#This Row],[Total (1)]]-Mass_Data[[#This Row],[GCM (t)]]</f>
        <v>1.5</v>
      </c>
      <c r="AB177" t="str">
        <f>IF(Mass_Data[[#This Row],[Difference between MDL and GCM]]=0,"YES","NO")</f>
        <v>NO</v>
      </c>
      <c r="AC177" s="22">
        <f>IFERROR(IF(Mass_Data[[#This Row],[Check (1)]]="YES",Mass_Data[[#This Row],[MDL axle group 1 mass]],Mass_Data[[#This Row],[MDL axle group 1 mass]]-(Mass_Data[[#This Row],[Difference between MDL and GCM]]*(Mass_Data[[#This Row],[MDL axle group 1 mass]]/Mass_Data[[#This Row],[Total (1)]]))),"")</f>
        <v>6.3818181818181818</v>
      </c>
      <c r="AD177" s="22">
        <f>IFERROR(IF(Mass_Data[[#This Row],[Check (1)]]="YES",Mass_Data[[#This Row],[MDL axle group 2 mass]],Mass_Data[[#This Row],[MDL axle group 2 mass]]-(Mass_Data[[#This Row],[Difference between MDL and GCM]]*(Mass_Data[[#This Row],[MDL axle group 2 mass]]/Mass_Data[[#This Row],[Total (1)]]))),"")</f>
        <v>16.690909090909091</v>
      </c>
      <c r="AE177" s="22">
        <f>IFERROR(IF(Mass_Data[[#This Row],[Check (1)]]="YES",Mass_Data[[#This Row],[MDL axle group 3 mass]],Mass_Data[[#This Row],[MDL axle group 3 mass]]-(Mass_Data[[#This Row],[Difference between MDL and GCM]]*(Mass_Data[[#This Row],[MDL axle group 3 mass]]/Mass_Data[[#This Row],[Total (1)]]))),"")</f>
        <v>20.618181818181817</v>
      </c>
      <c r="AF177" s="22">
        <f>IFERROR(IF(Mass_Data[[#This Row],[Check (1)]]="YES",Mass_Data[[#This Row],[MDL axle group 4 mass]],Mass_Data[[#This Row],[MDL axle group 4 mass]]-(Mass_Data[[#This Row],[Difference between MDL and GCM]]*(Mass_Data[[#This Row],[MDL axle group 4 mass]]/Mass_Data[[#This Row],[Total (1)]]))),"")</f>
        <v>16.690909090909091</v>
      </c>
      <c r="AG177" s="22">
        <f>IFERROR(IF(Mass_Data[[#This Row],[Check (1)]]="YES",Mass_Data[[#This Row],[MDL axle group 5 mass]],Mass_Data[[#This Row],[MDL axle group 5 mass]]-(Mass_Data[[#This Row],[Difference between MDL and GCM]]*(Mass_Data[[#This Row],[MDL axle group 5 mass]]/Mass_Data[[#This Row],[Total (1)]]))),"")</f>
        <v>20.618181818181817</v>
      </c>
      <c r="AH177" s="22" t="str">
        <f>IFERROR(IF(Mass_Data[[#This Row],[Check (1)]]="YES",Mass_Data[[#This Row],[MDL axle group 6 mass]],Mass_Data[[#This Row],[MDL axle group 6 mass]]-(Mass_Data[[#This Row],[Difference between MDL and GCM]]*(Mass_Data[[#This Row],[MDL axle group 6 mass]]/Mass_Data[[#This Row],[Total (1)]]))),"")</f>
        <v/>
      </c>
      <c r="AI177" s="22" t="str">
        <f>IFERROR(IF(Mass_Data[[#This Row],[Check (1)]]="YES",Mass_Data[[#This Row],[MDL axle group 7 mass]],Mass_Data[[#This Row],[MDL axle group 7 mass]]-(Mass_Data[[#This Row],[Difference between MDL and GCM]]*(Mass_Data[[#This Row],[MDL axle group 7 mass]]/Mass_Data[[#This Row],[Total (1)]]))),"")</f>
        <v/>
      </c>
      <c r="AJ177" s="81">
        <f>SUM(Mass_Data[[#This Row],[Corrected axle group 1 mass]:[Corrected axle group 7 mass]])</f>
        <v>81</v>
      </c>
      <c r="AK177">
        <f>Mass_Data[[#This Row],[Total (2)]]-Mass_Data[[#This Row],[GCM (t)]]</f>
        <v>0</v>
      </c>
      <c r="AL177" s="22" t="str">
        <f>IF(Mass_Data[[#This Row],[Difference between MDL and corrected axle masses]]=0,"YES","NO")</f>
        <v>YES</v>
      </c>
    </row>
    <row r="178" spans="3:38" x14ac:dyDescent="0.35">
      <c r="C178" s="10" t="str">
        <f t="shared" si="2"/>
        <v>Conventional - 11-Axle A-Double (HML)</v>
      </c>
      <c r="D178" s="10" t="s">
        <v>176</v>
      </c>
      <c r="E178" s="10" t="s">
        <v>220</v>
      </c>
      <c r="F178" s="12" t="s">
        <v>7</v>
      </c>
      <c r="G178" s="11" t="s">
        <v>202</v>
      </c>
      <c r="H178" t="s">
        <v>67</v>
      </c>
      <c r="I178" s="9">
        <v>85</v>
      </c>
      <c r="J178" s="14">
        <v>56.091223584597053</v>
      </c>
      <c r="K178" s="14">
        <f>Mass_Data[[#This Row],[GCM (t)]]-Mass_Data[[#This Row],[Payload (t)]]</f>
        <v>28.908776415402947</v>
      </c>
      <c r="L178" t="s">
        <v>8</v>
      </c>
      <c r="M178" t="s">
        <v>9</v>
      </c>
      <c r="N178" t="s">
        <v>10</v>
      </c>
      <c r="O178" t="s">
        <v>30</v>
      </c>
      <c r="P178" t="s">
        <v>10</v>
      </c>
      <c r="Q178">
        <v>0</v>
      </c>
      <c r="R178">
        <v>0</v>
      </c>
      <c r="S178" cm="1">
        <f t="array" ref="S178">_xlfn.XLOOKUP(Mass_Data[[#This Row],[axle group 1]]&amp;Mass_Data[[#This Row],[Mass Scheme]],Axle_Data[Axle Code]&amp;Axle_Data[Mass Scheme],Axle_Data[MDL Maximum Mass (t)],"",0)</f>
        <v>6.5</v>
      </c>
      <c r="T178" cm="1">
        <f t="array" ref="T178">_xlfn.XLOOKUP(Mass_Data[[#This Row],[axle group 2]]&amp;Mass_Data[[#This Row],[Mass Scheme]],Axle_Data[Axle Code]&amp;Axle_Data[Mass Scheme],Axle_Data[MDL Maximum Mass (t)],"",0)</f>
        <v>17</v>
      </c>
      <c r="U178" cm="1">
        <f t="array" ref="U178">_xlfn.XLOOKUP(Mass_Data[[#This Row],[axle group 3]]&amp;Mass_Data[[#This Row],[Mass Scheme]],Axle_Data[Axle Code]&amp;Axle_Data[Mass Scheme],Axle_Data[MDL Maximum Mass (t)],"",0)</f>
        <v>22.5</v>
      </c>
      <c r="V178" cm="1">
        <f t="array" ref="V178">_xlfn.XLOOKUP(Mass_Data[[#This Row],[axle group 4]]&amp;Mass_Data[[#This Row],[Mass Scheme]],Axle_Data[Axle Code]&amp;Axle_Data[Mass Scheme],Axle_Data[MDL Maximum Mass (t)],"",0)</f>
        <v>17</v>
      </c>
      <c r="W178" cm="1">
        <f t="array" ref="W178">_xlfn.XLOOKUP(Mass_Data[[#This Row],[axle group 5]]&amp;Mass_Data[[#This Row],[Mass Scheme]],Axle_Data[Axle Code]&amp;Axle_Data[Mass Scheme],Axle_Data[MDL Maximum Mass (t)],"",0)</f>
        <v>22.5</v>
      </c>
      <c r="X178" t="str" cm="1">
        <f t="array" ref="X178">_xlfn.XLOOKUP(Mass_Data[[#This Row],[axle group 6]]&amp;Mass_Data[[#This Row],[Mass Scheme]],Axle_Data[Axle Code]&amp;Axle_Data[Mass Scheme],Axle_Data[MDL Maximum Mass (t)],"",0)</f>
        <v/>
      </c>
      <c r="Y178" t="str" cm="1">
        <f t="array" ref="Y178">_xlfn.XLOOKUP(Mass_Data[[#This Row],[axle group 7]]&amp;Mass_Data[[#This Row],[Mass Scheme]],Axle_Data[Axle Code]&amp;Axle_Data[Mass Scheme],Axle_Data[MDL Maximum Mass (t)],"",0)</f>
        <v/>
      </c>
      <c r="Z178" s="81">
        <f>SUM(Mass_Data[[#This Row],[MDL axle group 1 mass]:[MDL axle group 7 mass]])</f>
        <v>85.5</v>
      </c>
      <c r="AA178">
        <f>Mass_Data[[#This Row],[Total (1)]]-Mass_Data[[#This Row],[GCM (t)]]</f>
        <v>0.5</v>
      </c>
      <c r="AB178" t="str">
        <f>IF(Mass_Data[[#This Row],[Difference between MDL and GCM]]=0,"YES","NO")</f>
        <v>NO</v>
      </c>
      <c r="AC178" s="22">
        <f>IFERROR(IF(Mass_Data[[#This Row],[Check (1)]]="YES",Mass_Data[[#This Row],[MDL axle group 1 mass]],Mass_Data[[#This Row],[MDL axle group 1 mass]]-(Mass_Data[[#This Row],[Difference between MDL and GCM]]*(Mass_Data[[#This Row],[MDL axle group 1 mass]]/Mass_Data[[#This Row],[Total (1)]]))),"")</f>
        <v>6.4619883040935671</v>
      </c>
      <c r="AD178" s="22">
        <f>IFERROR(IF(Mass_Data[[#This Row],[Check (1)]]="YES",Mass_Data[[#This Row],[MDL axle group 2 mass]],Mass_Data[[#This Row],[MDL axle group 2 mass]]-(Mass_Data[[#This Row],[Difference between MDL and GCM]]*(Mass_Data[[#This Row],[MDL axle group 2 mass]]/Mass_Data[[#This Row],[Total (1)]]))),"")</f>
        <v>16.900584795321638</v>
      </c>
      <c r="AE178" s="22">
        <f>IFERROR(IF(Mass_Data[[#This Row],[Check (1)]]="YES",Mass_Data[[#This Row],[MDL axle group 3 mass]],Mass_Data[[#This Row],[MDL axle group 3 mass]]-(Mass_Data[[#This Row],[Difference between MDL and GCM]]*(Mass_Data[[#This Row],[MDL axle group 3 mass]]/Mass_Data[[#This Row],[Total (1)]]))),"")</f>
        <v>22.368421052631579</v>
      </c>
      <c r="AF178" s="22">
        <f>IFERROR(IF(Mass_Data[[#This Row],[Check (1)]]="YES",Mass_Data[[#This Row],[MDL axle group 4 mass]],Mass_Data[[#This Row],[MDL axle group 4 mass]]-(Mass_Data[[#This Row],[Difference between MDL and GCM]]*(Mass_Data[[#This Row],[MDL axle group 4 mass]]/Mass_Data[[#This Row],[Total (1)]]))),"")</f>
        <v>16.900584795321638</v>
      </c>
      <c r="AG178" s="22">
        <f>IFERROR(IF(Mass_Data[[#This Row],[Check (1)]]="YES",Mass_Data[[#This Row],[MDL axle group 5 mass]],Mass_Data[[#This Row],[MDL axle group 5 mass]]-(Mass_Data[[#This Row],[Difference between MDL and GCM]]*(Mass_Data[[#This Row],[MDL axle group 5 mass]]/Mass_Data[[#This Row],[Total (1)]]))),"")</f>
        <v>22.368421052631579</v>
      </c>
      <c r="AH178" s="22" t="str">
        <f>IFERROR(IF(Mass_Data[[#This Row],[Check (1)]]="YES",Mass_Data[[#This Row],[MDL axle group 6 mass]],Mass_Data[[#This Row],[MDL axle group 6 mass]]-(Mass_Data[[#This Row],[Difference between MDL and GCM]]*(Mass_Data[[#This Row],[MDL axle group 6 mass]]/Mass_Data[[#This Row],[Total (1)]]))),"")</f>
        <v/>
      </c>
      <c r="AI178" s="22" t="str">
        <f>IFERROR(IF(Mass_Data[[#This Row],[Check (1)]]="YES",Mass_Data[[#This Row],[MDL axle group 7 mass]],Mass_Data[[#This Row],[MDL axle group 7 mass]]-(Mass_Data[[#This Row],[Difference between MDL and GCM]]*(Mass_Data[[#This Row],[MDL axle group 7 mass]]/Mass_Data[[#This Row],[Total (1)]]))),"")</f>
        <v/>
      </c>
      <c r="AJ178" s="81">
        <f>SUM(Mass_Data[[#This Row],[Corrected axle group 1 mass]:[Corrected axle group 7 mass]])</f>
        <v>85</v>
      </c>
      <c r="AK178">
        <f>Mass_Data[[#This Row],[Total (2)]]-Mass_Data[[#This Row],[GCM (t)]]</f>
        <v>0</v>
      </c>
      <c r="AL178" s="22" t="str">
        <f>IF(Mass_Data[[#This Row],[Difference between MDL and corrected axle masses]]=0,"YES","NO")</f>
        <v>YES</v>
      </c>
    </row>
    <row r="179" spans="3:38" x14ac:dyDescent="0.35">
      <c r="C179" s="10" t="str">
        <f t="shared" si="2"/>
        <v>Conventional - 12-Axle A-Double (GML)</v>
      </c>
      <c r="D179" s="10" t="s">
        <v>174</v>
      </c>
      <c r="E179" s="10" t="s">
        <v>220</v>
      </c>
      <c r="F179" s="12" t="s">
        <v>18</v>
      </c>
      <c r="G179" s="11" t="s">
        <v>202</v>
      </c>
      <c r="H179" t="s">
        <v>68</v>
      </c>
      <c r="I179" s="9">
        <v>82.5</v>
      </c>
      <c r="J179" s="14">
        <v>52.566386588260059</v>
      </c>
      <c r="K179" s="14">
        <f>Mass_Data[[#This Row],[GCM (t)]]-Mass_Data[[#This Row],[Payload (t)]]</f>
        <v>29.933613411739941</v>
      </c>
      <c r="L179" t="s">
        <v>8</v>
      </c>
      <c r="M179" t="s">
        <v>9</v>
      </c>
      <c r="N179" t="s">
        <v>10</v>
      </c>
      <c r="O179" t="s">
        <v>10</v>
      </c>
      <c r="P179" t="s">
        <v>10</v>
      </c>
      <c r="Q179">
        <v>0</v>
      </c>
      <c r="R179">
        <v>0</v>
      </c>
      <c r="S179" cm="1">
        <f t="array" ref="S179">_xlfn.XLOOKUP(Mass_Data[[#This Row],[axle group 1]]&amp;Mass_Data[[#This Row],[Mass Scheme]],Axle_Data[Axle Code]&amp;Axle_Data[Mass Scheme],Axle_Data[MDL Maximum Mass (t)],"",0)</f>
        <v>6.5</v>
      </c>
      <c r="T179" cm="1">
        <f t="array" ref="T179">_xlfn.XLOOKUP(Mass_Data[[#This Row],[axle group 2]]&amp;Mass_Data[[#This Row],[Mass Scheme]],Axle_Data[Axle Code]&amp;Axle_Data[Mass Scheme],Axle_Data[MDL Maximum Mass (t)],"",0)</f>
        <v>16.5</v>
      </c>
      <c r="U179" cm="1">
        <f t="array" ref="U179">_xlfn.XLOOKUP(Mass_Data[[#This Row],[axle group 3]]&amp;Mass_Data[[#This Row],[Mass Scheme]],Axle_Data[Axle Code]&amp;Axle_Data[Mass Scheme],Axle_Data[MDL Maximum Mass (t)],"",0)</f>
        <v>20</v>
      </c>
      <c r="V179" cm="1">
        <f t="array" ref="V179">_xlfn.XLOOKUP(Mass_Data[[#This Row],[axle group 4]]&amp;Mass_Data[[#This Row],[Mass Scheme]],Axle_Data[Axle Code]&amp;Axle_Data[Mass Scheme],Axle_Data[MDL Maximum Mass (t)],"",0)</f>
        <v>20</v>
      </c>
      <c r="W179" cm="1">
        <f t="array" ref="W179">_xlfn.XLOOKUP(Mass_Data[[#This Row],[axle group 5]]&amp;Mass_Data[[#This Row],[Mass Scheme]],Axle_Data[Axle Code]&amp;Axle_Data[Mass Scheme],Axle_Data[MDL Maximum Mass (t)],"",0)</f>
        <v>20</v>
      </c>
      <c r="X179" t="str" cm="1">
        <f t="array" ref="X179">_xlfn.XLOOKUP(Mass_Data[[#This Row],[axle group 6]]&amp;Mass_Data[[#This Row],[Mass Scheme]],Axle_Data[Axle Code]&amp;Axle_Data[Mass Scheme],Axle_Data[MDL Maximum Mass (t)],"",0)</f>
        <v/>
      </c>
      <c r="Y179" t="str" cm="1">
        <f t="array" ref="Y179">_xlfn.XLOOKUP(Mass_Data[[#This Row],[axle group 7]]&amp;Mass_Data[[#This Row],[Mass Scheme]],Axle_Data[Axle Code]&amp;Axle_Data[Mass Scheme],Axle_Data[MDL Maximum Mass (t)],"",0)</f>
        <v/>
      </c>
      <c r="Z179" s="81">
        <f>SUM(Mass_Data[[#This Row],[MDL axle group 1 mass]:[MDL axle group 7 mass]])</f>
        <v>83</v>
      </c>
      <c r="AA179">
        <f>Mass_Data[[#This Row],[Total (1)]]-Mass_Data[[#This Row],[GCM (t)]]</f>
        <v>0.5</v>
      </c>
      <c r="AB179" t="str">
        <f>IF(Mass_Data[[#This Row],[Difference between MDL and GCM]]=0,"YES","NO")</f>
        <v>NO</v>
      </c>
      <c r="AC179" s="22">
        <f>IFERROR(IF(Mass_Data[[#This Row],[Check (1)]]="YES",Mass_Data[[#This Row],[MDL axle group 1 mass]],Mass_Data[[#This Row],[MDL axle group 1 mass]]-(Mass_Data[[#This Row],[Difference between MDL and GCM]]*(Mass_Data[[#This Row],[MDL axle group 1 mass]]/Mass_Data[[#This Row],[Total (1)]]))),"")</f>
        <v>6.4608433734939759</v>
      </c>
      <c r="AD179" s="22">
        <f>IFERROR(IF(Mass_Data[[#This Row],[Check (1)]]="YES",Mass_Data[[#This Row],[MDL axle group 2 mass]],Mass_Data[[#This Row],[MDL axle group 2 mass]]-(Mass_Data[[#This Row],[Difference between MDL and GCM]]*(Mass_Data[[#This Row],[MDL axle group 2 mass]]/Mass_Data[[#This Row],[Total (1)]]))),"")</f>
        <v>16.400602409638555</v>
      </c>
      <c r="AE179" s="22">
        <f>IFERROR(IF(Mass_Data[[#This Row],[Check (1)]]="YES",Mass_Data[[#This Row],[MDL axle group 3 mass]],Mass_Data[[#This Row],[MDL axle group 3 mass]]-(Mass_Data[[#This Row],[Difference between MDL and GCM]]*(Mass_Data[[#This Row],[MDL axle group 3 mass]]/Mass_Data[[#This Row],[Total (1)]]))),"")</f>
        <v>19.879518072289155</v>
      </c>
      <c r="AF179" s="22">
        <f>IFERROR(IF(Mass_Data[[#This Row],[Check (1)]]="YES",Mass_Data[[#This Row],[MDL axle group 4 mass]],Mass_Data[[#This Row],[MDL axle group 4 mass]]-(Mass_Data[[#This Row],[Difference between MDL and GCM]]*(Mass_Data[[#This Row],[MDL axle group 4 mass]]/Mass_Data[[#This Row],[Total (1)]]))),"")</f>
        <v>19.879518072289155</v>
      </c>
      <c r="AG179" s="22">
        <f>IFERROR(IF(Mass_Data[[#This Row],[Check (1)]]="YES",Mass_Data[[#This Row],[MDL axle group 5 mass]],Mass_Data[[#This Row],[MDL axle group 5 mass]]-(Mass_Data[[#This Row],[Difference between MDL and GCM]]*(Mass_Data[[#This Row],[MDL axle group 5 mass]]/Mass_Data[[#This Row],[Total (1)]]))),"")</f>
        <v>19.879518072289155</v>
      </c>
      <c r="AH179" s="22" t="str">
        <f>IFERROR(IF(Mass_Data[[#This Row],[Check (1)]]="YES",Mass_Data[[#This Row],[MDL axle group 6 mass]],Mass_Data[[#This Row],[MDL axle group 6 mass]]-(Mass_Data[[#This Row],[Difference between MDL and GCM]]*(Mass_Data[[#This Row],[MDL axle group 6 mass]]/Mass_Data[[#This Row],[Total (1)]]))),"")</f>
        <v/>
      </c>
      <c r="AI179" s="22" t="str">
        <f>IFERROR(IF(Mass_Data[[#This Row],[Check (1)]]="YES",Mass_Data[[#This Row],[MDL axle group 7 mass]],Mass_Data[[#This Row],[MDL axle group 7 mass]]-(Mass_Data[[#This Row],[Difference between MDL and GCM]]*(Mass_Data[[#This Row],[MDL axle group 7 mass]]/Mass_Data[[#This Row],[Total (1)]]))),"")</f>
        <v/>
      </c>
      <c r="AJ179" s="81">
        <f>SUM(Mass_Data[[#This Row],[Corrected axle group 1 mass]:[Corrected axle group 7 mass]])</f>
        <v>82.5</v>
      </c>
      <c r="AK179">
        <f>Mass_Data[[#This Row],[Total (2)]]-Mass_Data[[#This Row],[GCM (t)]]</f>
        <v>0</v>
      </c>
      <c r="AL179" s="22" t="str">
        <f>IF(Mass_Data[[#This Row],[Difference between MDL and corrected axle masses]]=0,"YES","NO")</f>
        <v>YES</v>
      </c>
    </row>
    <row r="180" spans="3:38" x14ac:dyDescent="0.35">
      <c r="C180" s="10" t="str">
        <f t="shared" si="2"/>
        <v>Conventional - 12-Axle A-Double (CML)</v>
      </c>
      <c r="D180" s="10" t="s">
        <v>174</v>
      </c>
      <c r="E180" s="10" t="s">
        <v>220</v>
      </c>
      <c r="F180" s="12" t="s">
        <v>20</v>
      </c>
      <c r="G180" s="11" t="s">
        <v>202</v>
      </c>
      <c r="H180" t="s">
        <v>68</v>
      </c>
      <c r="I180" s="9">
        <v>84.5</v>
      </c>
      <c r="J180" s="14">
        <v>54.566386588260059</v>
      </c>
      <c r="K180" s="14">
        <f>Mass_Data[[#This Row],[GCM (t)]]-Mass_Data[[#This Row],[Payload (t)]]</f>
        <v>29.933613411739941</v>
      </c>
      <c r="L180" t="s">
        <v>8</v>
      </c>
      <c r="M180" t="s">
        <v>9</v>
      </c>
      <c r="N180" t="s">
        <v>10</v>
      </c>
      <c r="O180" t="s">
        <v>10</v>
      </c>
      <c r="P180" t="s">
        <v>10</v>
      </c>
      <c r="Q180">
        <v>0</v>
      </c>
      <c r="R180">
        <v>0</v>
      </c>
      <c r="S180" cm="1">
        <f t="array" ref="S180">_xlfn.XLOOKUP(Mass_Data[[#This Row],[axle group 1]]&amp;Mass_Data[[#This Row],[Mass Scheme]],Axle_Data[Axle Code]&amp;Axle_Data[Mass Scheme],Axle_Data[MDL Maximum Mass (t)],"",0)</f>
        <v>6.5</v>
      </c>
      <c r="T180" cm="1">
        <f t="array" ref="T180">_xlfn.XLOOKUP(Mass_Data[[#This Row],[axle group 2]]&amp;Mass_Data[[#This Row],[Mass Scheme]],Axle_Data[Axle Code]&amp;Axle_Data[Mass Scheme],Axle_Data[MDL Maximum Mass (t)],"",0)</f>
        <v>17</v>
      </c>
      <c r="U180" cm="1">
        <f t="array" ref="U180">_xlfn.XLOOKUP(Mass_Data[[#This Row],[axle group 3]]&amp;Mass_Data[[#This Row],[Mass Scheme]],Axle_Data[Axle Code]&amp;Axle_Data[Mass Scheme],Axle_Data[MDL Maximum Mass (t)],"",0)</f>
        <v>21</v>
      </c>
      <c r="V180" cm="1">
        <f t="array" ref="V180">_xlfn.XLOOKUP(Mass_Data[[#This Row],[axle group 4]]&amp;Mass_Data[[#This Row],[Mass Scheme]],Axle_Data[Axle Code]&amp;Axle_Data[Mass Scheme],Axle_Data[MDL Maximum Mass (t)],"",0)</f>
        <v>21</v>
      </c>
      <c r="W180" cm="1">
        <f t="array" ref="W180">_xlfn.XLOOKUP(Mass_Data[[#This Row],[axle group 5]]&amp;Mass_Data[[#This Row],[Mass Scheme]],Axle_Data[Axle Code]&amp;Axle_Data[Mass Scheme],Axle_Data[MDL Maximum Mass (t)],"",0)</f>
        <v>21</v>
      </c>
      <c r="X180" t="str" cm="1">
        <f t="array" ref="X180">_xlfn.XLOOKUP(Mass_Data[[#This Row],[axle group 6]]&amp;Mass_Data[[#This Row],[Mass Scheme]],Axle_Data[Axle Code]&amp;Axle_Data[Mass Scheme],Axle_Data[MDL Maximum Mass (t)],"",0)</f>
        <v/>
      </c>
      <c r="Y180" t="str" cm="1">
        <f t="array" ref="Y180">_xlfn.XLOOKUP(Mass_Data[[#This Row],[axle group 7]]&amp;Mass_Data[[#This Row],[Mass Scheme]],Axle_Data[Axle Code]&amp;Axle_Data[Mass Scheme],Axle_Data[MDL Maximum Mass (t)],"",0)</f>
        <v/>
      </c>
      <c r="Z180" s="81">
        <f>SUM(Mass_Data[[#This Row],[MDL axle group 1 mass]:[MDL axle group 7 mass]])</f>
        <v>86.5</v>
      </c>
      <c r="AA180">
        <f>Mass_Data[[#This Row],[Total (1)]]-Mass_Data[[#This Row],[GCM (t)]]</f>
        <v>2</v>
      </c>
      <c r="AB180" t="str">
        <f>IF(Mass_Data[[#This Row],[Difference between MDL and GCM]]=0,"YES","NO")</f>
        <v>NO</v>
      </c>
      <c r="AC180" s="22">
        <f>IFERROR(IF(Mass_Data[[#This Row],[Check (1)]]="YES",Mass_Data[[#This Row],[MDL axle group 1 mass]],Mass_Data[[#This Row],[MDL axle group 1 mass]]-(Mass_Data[[#This Row],[Difference between MDL and GCM]]*(Mass_Data[[#This Row],[MDL axle group 1 mass]]/Mass_Data[[#This Row],[Total (1)]]))),"")</f>
        <v>6.3497109826589595</v>
      </c>
      <c r="AD180" s="22">
        <f>IFERROR(IF(Mass_Data[[#This Row],[Check (1)]]="YES",Mass_Data[[#This Row],[MDL axle group 2 mass]],Mass_Data[[#This Row],[MDL axle group 2 mass]]-(Mass_Data[[#This Row],[Difference between MDL and GCM]]*(Mass_Data[[#This Row],[MDL axle group 2 mass]]/Mass_Data[[#This Row],[Total (1)]]))),"")</f>
        <v>16.606936416184972</v>
      </c>
      <c r="AE180" s="22">
        <f>IFERROR(IF(Mass_Data[[#This Row],[Check (1)]]="YES",Mass_Data[[#This Row],[MDL axle group 3 mass]],Mass_Data[[#This Row],[MDL axle group 3 mass]]-(Mass_Data[[#This Row],[Difference between MDL and GCM]]*(Mass_Data[[#This Row],[MDL axle group 3 mass]]/Mass_Data[[#This Row],[Total (1)]]))),"")</f>
        <v>20.514450867052023</v>
      </c>
      <c r="AF180" s="22">
        <f>IFERROR(IF(Mass_Data[[#This Row],[Check (1)]]="YES",Mass_Data[[#This Row],[MDL axle group 4 mass]],Mass_Data[[#This Row],[MDL axle group 4 mass]]-(Mass_Data[[#This Row],[Difference between MDL and GCM]]*(Mass_Data[[#This Row],[MDL axle group 4 mass]]/Mass_Data[[#This Row],[Total (1)]]))),"")</f>
        <v>20.514450867052023</v>
      </c>
      <c r="AG180" s="22">
        <f>IFERROR(IF(Mass_Data[[#This Row],[Check (1)]]="YES",Mass_Data[[#This Row],[MDL axle group 5 mass]],Mass_Data[[#This Row],[MDL axle group 5 mass]]-(Mass_Data[[#This Row],[Difference between MDL and GCM]]*(Mass_Data[[#This Row],[MDL axle group 5 mass]]/Mass_Data[[#This Row],[Total (1)]]))),"")</f>
        <v>20.514450867052023</v>
      </c>
      <c r="AH180" s="22" t="str">
        <f>IFERROR(IF(Mass_Data[[#This Row],[Check (1)]]="YES",Mass_Data[[#This Row],[MDL axle group 6 mass]],Mass_Data[[#This Row],[MDL axle group 6 mass]]-(Mass_Data[[#This Row],[Difference between MDL and GCM]]*(Mass_Data[[#This Row],[MDL axle group 6 mass]]/Mass_Data[[#This Row],[Total (1)]]))),"")</f>
        <v/>
      </c>
      <c r="AI180" s="22" t="str">
        <f>IFERROR(IF(Mass_Data[[#This Row],[Check (1)]]="YES",Mass_Data[[#This Row],[MDL axle group 7 mass]],Mass_Data[[#This Row],[MDL axle group 7 mass]]-(Mass_Data[[#This Row],[Difference between MDL and GCM]]*(Mass_Data[[#This Row],[MDL axle group 7 mass]]/Mass_Data[[#This Row],[Total (1)]]))),"")</f>
        <v/>
      </c>
      <c r="AJ180" s="81">
        <f>SUM(Mass_Data[[#This Row],[Corrected axle group 1 mass]:[Corrected axle group 7 mass]])</f>
        <v>84.5</v>
      </c>
      <c r="AK180">
        <f>Mass_Data[[#This Row],[Total (2)]]-Mass_Data[[#This Row],[GCM (t)]]</f>
        <v>0</v>
      </c>
      <c r="AL180" s="22" t="str">
        <f>IF(Mass_Data[[#This Row],[Difference between MDL and corrected axle masses]]=0,"YES","NO")</f>
        <v>YES</v>
      </c>
    </row>
    <row r="181" spans="3:38" x14ac:dyDescent="0.35">
      <c r="C181" s="10" t="str">
        <f t="shared" si="2"/>
        <v>Conventional - 12-Axle A-Double (HML)</v>
      </c>
      <c r="D181" s="10" t="s">
        <v>174</v>
      </c>
      <c r="E181" s="10" t="s">
        <v>220</v>
      </c>
      <c r="F181" s="12" t="s">
        <v>7</v>
      </c>
      <c r="G181" s="11" t="s">
        <v>202</v>
      </c>
      <c r="H181" t="s">
        <v>68</v>
      </c>
      <c r="I181" s="9">
        <v>90.5</v>
      </c>
      <c r="J181" s="14">
        <v>60.566386588260059</v>
      </c>
      <c r="K181" s="14">
        <f>Mass_Data[[#This Row],[GCM (t)]]-Mass_Data[[#This Row],[Payload (t)]]</f>
        <v>29.933613411739941</v>
      </c>
      <c r="L181" t="s">
        <v>8</v>
      </c>
      <c r="M181" t="s">
        <v>9</v>
      </c>
      <c r="N181" t="s">
        <v>10</v>
      </c>
      <c r="O181" t="s">
        <v>10</v>
      </c>
      <c r="P181" t="s">
        <v>10</v>
      </c>
      <c r="Q181">
        <v>0</v>
      </c>
      <c r="R181">
        <v>0</v>
      </c>
      <c r="S181" cm="1">
        <f t="array" ref="S181">_xlfn.XLOOKUP(Mass_Data[[#This Row],[axle group 1]]&amp;Mass_Data[[#This Row],[Mass Scheme]],Axle_Data[Axle Code]&amp;Axle_Data[Mass Scheme],Axle_Data[MDL Maximum Mass (t)],"",0)</f>
        <v>6.5</v>
      </c>
      <c r="T181" cm="1">
        <f t="array" ref="T181">_xlfn.XLOOKUP(Mass_Data[[#This Row],[axle group 2]]&amp;Mass_Data[[#This Row],[Mass Scheme]],Axle_Data[Axle Code]&amp;Axle_Data[Mass Scheme],Axle_Data[MDL Maximum Mass (t)],"",0)</f>
        <v>17</v>
      </c>
      <c r="U181" cm="1">
        <f t="array" ref="U181">_xlfn.XLOOKUP(Mass_Data[[#This Row],[axle group 3]]&amp;Mass_Data[[#This Row],[Mass Scheme]],Axle_Data[Axle Code]&amp;Axle_Data[Mass Scheme],Axle_Data[MDL Maximum Mass (t)],"",0)</f>
        <v>22.5</v>
      </c>
      <c r="V181" cm="1">
        <f t="array" ref="V181">_xlfn.XLOOKUP(Mass_Data[[#This Row],[axle group 4]]&amp;Mass_Data[[#This Row],[Mass Scheme]],Axle_Data[Axle Code]&amp;Axle_Data[Mass Scheme],Axle_Data[MDL Maximum Mass (t)],"",0)</f>
        <v>22.5</v>
      </c>
      <c r="W181" cm="1">
        <f t="array" ref="W181">_xlfn.XLOOKUP(Mass_Data[[#This Row],[axle group 5]]&amp;Mass_Data[[#This Row],[Mass Scheme]],Axle_Data[Axle Code]&amp;Axle_Data[Mass Scheme],Axle_Data[MDL Maximum Mass (t)],"",0)</f>
        <v>22.5</v>
      </c>
      <c r="X181" t="str" cm="1">
        <f t="array" ref="X181">_xlfn.XLOOKUP(Mass_Data[[#This Row],[axle group 6]]&amp;Mass_Data[[#This Row],[Mass Scheme]],Axle_Data[Axle Code]&amp;Axle_Data[Mass Scheme],Axle_Data[MDL Maximum Mass (t)],"",0)</f>
        <v/>
      </c>
      <c r="Y181" t="str" cm="1">
        <f t="array" ref="Y181">_xlfn.XLOOKUP(Mass_Data[[#This Row],[axle group 7]]&amp;Mass_Data[[#This Row],[Mass Scheme]],Axle_Data[Axle Code]&amp;Axle_Data[Mass Scheme],Axle_Data[MDL Maximum Mass (t)],"",0)</f>
        <v/>
      </c>
      <c r="Z181" s="81">
        <f>SUM(Mass_Data[[#This Row],[MDL axle group 1 mass]:[MDL axle group 7 mass]])</f>
        <v>91</v>
      </c>
      <c r="AA181">
        <f>Mass_Data[[#This Row],[Total (1)]]-Mass_Data[[#This Row],[GCM (t)]]</f>
        <v>0.5</v>
      </c>
      <c r="AB181" t="str">
        <f>IF(Mass_Data[[#This Row],[Difference between MDL and GCM]]=0,"YES","NO")</f>
        <v>NO</v>
      </c>
      <c r="AC181" s="22">
        <f>IFERROR(IF(Mass_Data[[#This Row],[Check (1)]]="YES",Mass_Data[[#This Row],[MDL axle group 1 mass]],Mass_Data[[#This Row],[MDL axle group 1 mass]]-(Mass_Data[[#This Row],[Difference between MDL and GCM]]*(Mass_Data[[#This Row],[MDL axle group 1 mass]]/Mass_Data[[#This Row],[Total (1)]]))),"")</f>
        <v>6.4642857142857144</v>
      </c>
      <c r="AD181" s="22">
        <f>IFERROR(IF(Mass_Data[[#This Row],[Check (1)]]="YES",Mass_Data[[#This Row],[MDL axle group 2 mass]],Mass_Data[[#This Row],[MDL axle group 2 mass]]-(Mass_Data[[#This Row],[Difference between MDL and GCM]]*(Mass_Data[[#This Row],[MDL axle group 2 mass]]/Mass_Data[[#This Row],[Total (1)]]))),"")</f>
        <v>16.906593406593405</v>
      </c>
      <c r="AE181" s="22">
        <f>IFERROR(IF(Mass_Data[[#This Row],[Check (1)]]="YES",Mass_Data[[#This Row],[MDL axle group 3 mass]],Mass_Data[[#This Row],[MDL axle group 3 mass]]-(Mass_Data[[#This Row],[Difference between MDL and GCM]]*(Mass_Data[[#This Row],[MDL axle group 3 mass]]/Mass_Data[[#This Row],[Total (1)]]))),"")</f>
        <v>22.376373626373628</v>
      </c>
      <c r="AF181" s="22">
        <f>IFERROR(IF(Mass_Data[[#This Row],[Check (1)]]="YES",Mass_Data[[#This Row],[MDL axle group 4 mass]],Mass_Data[[#This Row],[MDL axle group 4 mass]]-(Mass_Data[[#This Row],[Difference between MDL and GCM]]*(Mass_Data[[#This Row],[MDL axle group 4 mass]]/Mass_Data[[#This Row],[Total (1)]]))),"")</f>
        <v>22.376373626373628</v>
      </c>
      <c r="AG181" s="22">
        <f>IFERROR(IF(Mass_Data[[#This Row],[Check (1)]]="YES",Mass_Data[[#This Row],[MDL axle group 5 mass]],Mass_Data[[#This Row],[MDL axle group 5 mass]]-(Mass_Data[[#This Row],[Difference between MDL and GCM]]*(Mass_Data[[#This Row],[MDL axle group 5 mass]]/Mass_Data[[#This Row],[Total (1)]]))),"")</f>
        <v>22.376373626373628</v>
      </c>
      <c r="AH181" s="22" t="str">
        <f>IFERROR(IF(Mass_Data[[#This Row],[Check (1)]]="YES",Mass_Data[[#This Row],[MDL axle group 6 mass]],Mass_Data[[#This Row],[MDL axle group 6 mass]]-(Mass_Data[[#This Row],[Difference between MDL and GCM]]*(Mass_Data[[#This Row],[MDL axle group 6 mass]]/Mass_Data[[#This Row],[Total (1)]]))),"")</f>
        <v/>
      </c>
      <c r="AI181" s="22" t="str">
        <f>IFERROR(IF(Mass_Data[[#This Row],[Check (1)]]="YES",Mass_Data[[#This Row],[MDL axle group 7 mass]],Mass_Data[[#This Row],[MDL axle group 7 mass]]-(Mass_Data[[#This Row],[Difference between MDL and GCM]]*(Mass_Data[[#This Row],[MDL axle group 7 mass]]/Mass_Data[[#This Row],[Total (1)]]))),"")</f>
        <v/>
      </c>
      <c r="AJ181" s="81">
        <f>SUM(Mass_Data[[#This Row],[Corrected axle group 1 mass]:[Corrected axle group 7 mass]])</f>
        <v>90.5</v>
      </c>
      <c r="AK181">
        <f>Mass_Data[[#This Row],[Total (2)]]-Mass_Data[[#This Row],[GCM (t)]]</f>
        <v>0</v>
      </c>
      <c r="AL181" s="22" t="str">
        <f>IF(Mass_Data[[#This Row],[Difference between MDL and corrected axle masses]]=0,"YES","NO")</f>
        <v>YES</v>
      </c>
    </row>
    <row r="182" spans="3:38" x14ac:dyDescent="0.35">
      <c r="C182" s="10" t="str">
        <f t="shared" si="2"/>
        <v>Conventional - 12-Axle Modular B-Triple (GML)</v>
      </c>
      <c r="D182" s="10" t="s">
        <v>172</v>
      </c>
      <c r="E182" s="10" t="s">
        <v>220</v>
      </c>
      <c r="F182" s="12" t="s">
        <v>18</v>
      </c>
      <c r="G182" s="11" t="s">
        <v>202</v>
      </c>
      <c r="H182" t="s">
        <v>69</v>
      </c>
      <c r="I182" s="9">
        <v>82.5</v>
      </c>
      <c r="J182" s="14">
        <v>49.814157097012163</v>
      </c>
      <c r="K182" s="14">
        <f>Mass_Data[[#This Row],[GCM (t)]]-Mass_Data[[#This Row],[Payload (t)]]</f>
        <v>32.685842902987837</v>
      </c>
      <c r="L182" t="s">
        <v>8</v>
      </c>
      <c r="M182" t="s">
        <v>9</v>
      </c>
      <c r="N182" t="s">
        <v>10</v>
      </c>
      <c r="O182" t="s">
        <v>10</v>
      </c>
      <c r="P182" t="s">
        <v>10</v>
      </c>
      <c r="Q182">
        <v>0</v>
      </c>
      <c r="R182">
        <v>0</v>
      </c>
      <c r="S182" cm="1">
        <f t="array" ref="S182">_xlfn.XLOOKUP(Mass_Data[[#This Row],[axle group 1]]&amp;Mass_Data[[#This Row],[Mass Scheme]],Axle_Data[Axle Code]&amp;Axle_Data[Mass Scheme],Axle_Data[MDL Maximum Mass (t)],"",0)</f>
        <v>6.5</v>
      </c>
      <c r="T182" cm="1">
        <f t="array" ref="T182">_xlfn.XLOOKUP(Mass_Data[[#This Row],[axle group 2]]&amp;Mass_Data[[#This Row],[Mass Scheme]],Axle_Data[Axle Code]&amp;Axle_Data[Mass Scheme],Axle_Data[MDL Maximum Mass (t)],"",0)</f>
        <v>16.5</v>
      </c>
      <c r="U182" cm="1">
        <f t="array" ref="U182">_xlfn.XLOOKUP(Mass_Data[[#This Row],[axle group 3]]&amp;Mass_Data[[#This Row],[Mass Scheme]],Axle_Data[Axle Code]&amp;Axle_Data[Mass Scheme],Axle_Data[MDL Maximum Mass (t)],"",0)</f>
        <v>20</v>
      </c>
      <c r="V182" cm="1">
        <f t="array" ref="V182">_xlfn.XLOOKUP(Mass_Data[[#This Row],[axle group 4]]&amp;Mass_Data[[#This Row],[Mass Scheme]],Axle_Data[Axle Code]&amp;Axle_Data[Mass Scheme],Axle_Data[MDL Maximum Mass (t)],"",0)</f>
        <v>20</v>
      </c>
      <c r="W182" cm="1">
        <f t="array" ref="W182">_xlfn.XLOOKUP(Mass_Data[[#This Row],[axle group 5]]&amp;Mass_Data[[#This Row],[Mass Scheme]],Axle_Data[Axle Code]&amp;Axle_Data[Mass Scheme],Axle_Data[MDL Maximum Mass (t)],"",0)</f>
        <v>20</v>
      </c>
      <c r="X182" t="str" cm="1">
        <f t="array" ref="X182">_xlfn.XLOOKUP(Mass_Data[[#This Row],[axle group 6]]&amp;Mass_Data[[#This Row],[Mass Scheme]],Axle_Data[Axle Code]&amp;Axle_Data[Mass Scheme],Axle_Data[MDL Maximum Mass (t)],"",0)</f>
        <v/>
      </c>
      <c r="Y182" t="str" cm="1">
        <f t="array" ref="Y182">_xlfn.XLOOKUP(Mass_Data[[#This Row],[axle group 7]]&amp;Mass_Data[[#This Row],[Mass Scheme]],Axle_Data[Axle Code]&amp;Axle_Data[Mass Scheme],Axle_Data[MDL Maximum Mass (t)],"",0)</f>
        <v/>
      </c>
      <c r="Z182" s="81">
        <f>SUM(Mass_Data[[#This Row],[MDL axle group 1 mass]:[MDL axle group 7 mass]])</f>
        <v>83</v>
      </c>
      <c r="AA182">
        <f>Mass_Data[[#This Row],[Total (1)]]-Mass_Data[[#This Row],[GCM (t)]]</f>
        <v>0.5</v>
      </c>
      <c r="AB182" t="str">
        <f>IF(Mass_Data[[#This Row],[Difference between MDL and GCM]]=0,"YES","NO")</f>
        <v>NO</v>
      </c>
      <c r="AC182" s="22">
        <f>IFERROR(IF(Mass_Data[[#This Row],[Check (1)]]="YES",Mass_Data[[#This Row],[MDL axle group 1 mass]],Mass_Data[[#This Row],[MDL axle group 1 mass]]-(Mass_Data[[#This Row],[Difference between MDL and GCM]]*(Mass_Data[[#This Row],[MDL axle group 1 mass]]/Mass_Data[[#This Row],[Total (1)]]))),"")</f>
        <v>6.4608433734939759</v>
      </c>
      <c r="AD182" s="22">
        <f>IFERROR(IF(Mass_Data[[#This Row],[Check (1)]]="YES",Mass_Data[[#This Row],[MDL axle group 2 mass]],Mass_Data[[#This Row],[MDL axle group 2 mass]]-(Mass_Data[[#This Row],[Difference between MDL and GCM]]*(Mass_Data[[#This Row],[MDL axle group 2 mass]]/Mass_Data[[#This Row],[Total (1)]]))),"")</f>
        <v>16.400602409638555</v>
      </c>
      <c r="AE182" s="22">
        <f>IFERROR(IF(Mass_Data[[#This Row],[Check (1)]]="YES",Mass_Data[[#This Row],[MDL axle group 3 mass]],Mass_Data[[#This Row],[MDL axle group 3 mass]]-(Mass_Data[[#This Row],[Difference between MDL and GCM]]*(Mass_Data[[#This Row],[MDL axle group 3 mass]]/Mass_Data[[#This Row],[Total (1)]]))),"")</f>
        <v>19.879518072289155</v>
      </c>
      <c r="AF182" s="22">
        <f>IFERROR(IF(Mass_Data[[#This Row],[Check (1)]]="YES",Mass_Data[[#This Row],[MDL axle group 4 mass]],Mass_Data[[#This Row],[MDL axle group 4 mass]]-(Mass_Data[[#This Row],[Difference between MDL and GCM]]*(Mass_Data[[#This Row],[MDL axle group 4 mass]]/Mass_Data[[#This Row],[Total (1)]]))),"")</f>
        <v>19.879518072289155</v>
      </c>
      <c r="AG182" s="22">
        <f>IFERROR(IF(Mass_Data[[#This Row],[Check (1)]]="YES",Mass_Data[[#This Row],[MDL axle group 5 mass]],Mass_Data[[#This Row],[MDL axle group 5 mass]]-(Mass_Data[[#This Row],[Difference between MDL and GCM]]*(Mass_Data[[#This Row],[MDL axle group 5 mass]]/Mass_Data[[#This Row],[Total (1)]]))),"")</f>
        <v>19.879518072289155</v>
      </c>
      <c r="AH182" s="22" t="str">
        <f>IFERROR(IF(Mass_Data[[#This Row],[Check (1)]]="YES",Mass_Data[[#This Row],[MDL axle group 6 mass]],Mass_Data[[#This Row],[MDL axle group 6 mass]]-(Mass_Data[[#This Row],[Difference between MDL and GCM]]*(Mass_Data[[#This Row],[MDL axle group 6 mass]]/Mass_Data[[#This Row],[Total (1)]]))),"")</f>
        <v/>
      </c>
      <c r="AI182" s="22" t="str">
        <f>IFERROR(IF(Mass_Data[[#This Row],[Check (1)]]="YES",Mass_Data[[#This Row],[MDL axle group 7 mass]],Mass_Data[[#This Row],[MDL axle group 7 mass]]-(Mass_Data[[#This Row],[Difference between MDL and GCM]]*(Mass_Data[[#This Row],[MDL axle group 7 mass]]/Mass_Data[[#This Row],[Total (1)]]))),"")</f>
        <v/>
      </c>
      <c r="AJ182" s="81">
        <f>SUM(Mass_Data[[#This Row],[Corrected axle group 1 mass]:[Corrected axle group 7 mass]])</f>
        <v>82.5</v>
      </c>
      <c r="AK182">
        <f>Mass_Data[[#This Row],[Total (2)]]-Mass_Data[[#This Row],[GCM (t)]]</f>
        <v>0</v>
      </c>
      <c r="AL182" s="22" t="str">
        <f>IF(Mass_Data[[#This Row],[Difference between MDL and corrected axle masses]]=0,"YES","NO")</f>
        <v>YES</v>
      </c>
    </row>
    <row r="183" spans="3:38" x14ac:dyDescent="0.35">
      <c r="C183" s="10" t="str">
        <f t="shared" si="2"/>
        <v>Conventional - 12-Axle Modular B-Triple (CML)</v>
      </c>
      <c r="D183" s="10" t="s">
        <v>172</v>
      </c>
      <c r="E183" s="10" t="s">
        <v>220</v>
      </c>
      <c r="F183" s="12" t="s">
        <v>20</v>
      </c>
      <c r="G183" s="11" t="s">
        <v>202</v>
      </c>
      <c r="H183" t="s">
        <v>69</v>
      </c>
      <c r="I183" s="9">
        <v>84.5</v>
      </c>
      <c r="J183" s="14">
        <v>51.814157097012163</v>
      </c>
      <c r="K183" s="14">
        <f>Mass_Data[[#This Row],[GCM (t)]]-Mass_Data[[#This Row],[Payload (t)]]</f>
        <v>32.685842902987837</v>
      </c>
      <c r="L183" t="s">
        <v>8</v>
      </c>
      <c r="M183" t="s">
        <v>9</v>
      </c>
      <c r="N183" t="s">
        <v>10</v>
      </c>
      <c r="O183" t="s">
        <v>10</v>
      </c>
      <c r="P183" t="s">
        <v>10</v>
      </c>
      <c r="Q183">
        <v>0</v>
      </c>
      <c r="R183">
        <v>0</v>
      </c>
      <c r="S183" cm="1">
        <f t="array" ref="S183">_xlfn.XLOOKUP(Mass_Data[[#This Row],[axle group 1]]&amp;Mass_Data[[#This Row],[Mass Scheme]],Axle_Data[Axle Code]&amp;Axle_Data[Mass Scheme],Axle_Data[MDL Maximum Mass (t)],"",0)</f>
        <v>6.5</v>
      </c>
      <c r="T183" cm="1">
        <f t="array" ref="T183">_xlfn.XLOOKUP(Mass_Data[[#This Row],[axle group 2]]&amp;Mass_Data[[#This Row],[Mass Scheme]],Axle_Data[Axle Code]&amp;Axle_Data[Mass Scheme],Axle_Data[MDL Maximum Mass (t)],"",0)</f>
        <v>17</v>
      </c>
      <c r="U183" cm="1">
        <f t="array" ref="U183">_xlfn.XLOOKUP(Mass_Data[[#This Row],[axle group 3]]&amp;Mass_Data[[#This Row],[Mass Scheme]],Axle_Data[Axle Code]&amp;Axle_Data[Mass Scheme],Axle_Data[MDL Maximum Mass (t)],"",0)</f>
        <v>21</v>
      </c>
      <c r="V183" cm="1">
        <f t="array" ref="V183">_xlfn.XLOOKUP(Mass_Data[[#This Row],[axle group 4]]&amp;Mass_Data[[#This Row],[Mass Scheme]],Axle_Data[Axle Code]&amp;Axle_Data[Mass Scheme],Axle_Data[MDL Maximum Mass (t)],"",0)</f>
        <v>21</v>
      </c>
      <c r="W183" cm="1">
        <f t="array" ref="W183">_xlfn.XLOOKUP(Mass_Data[[#This Row],[axle group 5]]&amp;Mass_Data[[#This Row],[Mass Scheme]],Axle_Data[Axle Code]&amp;Axle_Data[Mass Scheme],Axle_Data[MDL Maximum Mass (t)],"",0)</f>
        <v>21</v>
      </c>
      <c r="X183" t="str" cm="1">
        <f t="array" ref="X183">_xlfn.XLOOKUP(Mass_Data[[#This Row],[axle group 6]]&amp;Mass_Data[[#This Row],[Mass Scheme]],Axle_Data[Axle Code]&amp;Axle_Data[Mass Scheme],Axle_Data[MDL Maximum Mass (t)],"",0)</f>
        <v/>
      </c>
      <c r="Y183" t="str" cm="1">
        <f t="array" ref="Y183">_xlfn.XLOOKUP(Mass_Data[[#This Row],[axle group 7]]&amp;Mass_Data[[#This Row],[Mass Scheme]],Axle_Data[Axle Code]&amp;Axle_Data[Mass Scheme],Axle_Data[MDL Maximum Mass (t)],"",0)</f>
        <v/>
      </c>
      <c r="Z183" s="81">
        <f>SUM(Mass_Data[[#This Row],[MDL axle group 1 mass]:[MDL axle group 7 mass]])</f>
        <v>86.5</v>
      </c>
      <c r="AA183">
        <f>Mass_Data[[#This Row],[Total (1)]]-Mass_Data[[#This Row],[GCM (t)]]</f>
        <v>2</v>
      </c>
      <c r="AB183" t="str">
        <f>IF(Mass_Data[[#This Row],[Difference between MDL and GCM]]=0,"YES","NO")</f>
        <v>NO</v>
      </c>
      <c r="AC183" s="22">
        <f>IFERROR(IF(Mass_Data[[#This Row],[Check (1)]]="YES",Mass_Data[[#This Row],[MDL axle group 1 mass]],Mass_Data[[#This Row],[MDL axle group 1 mass]]-(Mass_Data[[#This Row],[Difference between MDL and GCM]]*(Mass_Data[[#This Row],[MDL axle group 1 mass]]/Mass_Data[[#This Row],[Total (1)]]))),"")</f>
        <v>6.3497109826589595</v>
      </c>
      <c r="AD183" s="22">
        <f>IFERROR(IF(Mass_Data[[#This Row],[Check (1)]]="YES",Mass_Data[[#This Row],[MDL axle group 2 mass]],Mass_Data[[#This Row],[MDL axle group 2 mass]]-(Mass_Data[[#This Row],[Difference between MDL and GCM]]*(Mass_Data[[#This Row],[MDL axle group 2 mass]]/Mass_Data[[#This Row],[Total (1)]]))),"")</f>
        <v>16.606936416184972</v>
      </c>
      <c r="AE183" s="22">
        <f>IFERROR(IF(Mass_Data[[#This Row],[Check (1)]]="YES",Mass_Data[[#This Row],[MDL axle group 3 mass]],Mass_Data[[#This Row],[MDL axle group 3 mass]]-(Mass_Data[[#This Row],[Difference between MDL and GCM]]*(Mass_Data[[#This Row],[MDL axle group 3 mass]]/Mass_Data[[#This Row],[Total (1)]]))),"")</f>
        <v>20.514450867052023</v>
      </c>
      <c r="AF183" s="22">
        <f>IFERROR(IF(Mass_Data[[#This Row],[Check (1)]]="YES",Mass_Data[[#This Row],[MDL axle group 4 mass]],Mass_Data[[#This Row],[MDL axle group 4 mass]]-(Mass_Data[[#This Row],[Difference between MDL and GCM]]*(Mass_Data[[#This Row],[MDL axle group 4 mass]]/Mass_Data[[#This Row],[Total (1)]]))),"")</f>
        <v>20.514450867052023</v>
      </c>
      <c r="AG183" s="22">
        <f>IFERROR(IF(Mass_Data[[#This Row],[Check (1)]]="YES",Mass_Data[[#This Row],[MDL axle group 5 mass]],Mass_Data[[#This Row],[MDL axle group 5 mass]]-(Mass_Data[[#This Row],[Difference between MDL and GCM]]*(Mass_Data[[#This Row],[MDL axle group 5 mass]]/Mass_Data[[#This Row],[Total (1)]]))),"")</f>
        <v>20.514450867052023</v>
      </c>
      <c r="AH183" s="22" t="str">
        <f>IFERROR(IF(Mass_Data[[#This Row],[Check (1)]]="YES",Mass_Data[[#This Row],[MDL axle group 6 mass]],Mass_Data[[#This Row],[MDL axle group 6 mass]]-(Mass_Data[[#This Row],[Difference between MDL and GCM]]*(Mass_Data[[#This Row],[MDL axle group 6 mass]]/Mass_Data[[#This Row],[Total (1)]]))),"")</f>
        <v/>
      </c>
      <c r="AI183" s="22" t="str">
        <f>IFERROR(IF(Mass_Data[[#This Row],[Check (1)]]="YES",Mass_Data[[#This Row],[MDL axle group 7 mass]],Mass_Data[[#This Row],[MDL axle group 7 mass]]-(Mass_Data[[#This Row],[Difference between MDL and GCM]]*(Mass_Data[[#This Row],[MDL axle group 7 mass]]/Mass_Data[[#This Row],[Total (1)]]))),"")</f>
        <v/>
      </c>
      <c r="AJ183" s="81">
        <f>SUM(Mass_Data[[#This Row],[Corrected axle group 1 mass]:[Corrected axle group 7 mass]])</f>
        <v>84.5</v>
      </c>
      <c r="AK183">
        <f>Mass_Data[[#This Row],[Total (2)]]-Mass_Data[[#This Row],[GCM (t)]]</f>
        <v>0</v>
      </c>
      <c r="AL183" s="22" t="str">
        <f>IF(Mass_Data[[#This Row],[Difference between MDL and corrected axle masses]]=0,"YES","NO")</f>
        <v>YES</v>
      </c>
    </row>
    <row r="184" spans="3:38" x14ac:dyDescent="0.35">
      <c r="C184" s="10" t="str">
        <f t="shared" si="2"/>
        <v>Conventional - 12-Axle Modular B-Triple (HML)</v>
      </c>
      <c r="D184" s="10" t="s">
        <v>172</v>
      </c>
      <c r="E184" s="10" t="s">
        <v>220</v>
      </c>
      <c r="F184" s="12" t="s">
        <v>7</v>
      </c>
      <c r="G184" s="11" t="s">
        <v>202</v>
      </c>
      <c r="H184" t="s">
        <v>69</v>
      </c>
      <c r="I184" s="9">
        <v>90.5</v>
      </c>
      <c r="J184" s="14">
        <v>57.814157097012163</v>
      </c>
      <c r="K184" s="14">
        <f>Mass_Data[[#This Row],[GCM (t)]]-Mass_Data[[#This Row],[Payload (t)]]</f>
        <v>32.685842902987837</v>
      </c>
      <c r="L184" t="s">
        <v>8</v>
      </c>
      <c r="M184" t="s">
        <v>9</v>
      </c>
      <c r="N184" t="s">
        <v>10</v>
      </c>
      <c r="O184" t="s">
        <v>10</v>
      </c>
      <c r="P184" t="s">
        <v>10</v>
      </c>
      <c r="Q184">
        <v>0</v>
      </c>
      <c r="R184">
        <v>0</v>
      </c>
      <c r="S184" cm="1">
        <f t="array" ref="S184">_xlfn.XLOOKUP(Mass_Data[[#This Row],[axle group 1]]&amp;Mass_Data[[#This Row],[Mass Scheme]],Axle_Data[Axle Code]&amp;Axle_Data[Mass Scheme],Axle_Data[MDL Maximum Mass (t)],"",0)</f>
        <v>6.5</v>
      </c>
      <c r="T184" cm="1">
        <f t="array" ref="T184">_xlfn.XLOOKUP(Mass_Data[[#This Row],[axle group 2]]&amp;Mass_Data[[#This Row],[Mass Scheme]],Axle_Data[Axle Code]&amp;Axle_Data[Mass Scheme],Axle_Data[MDL Maximum Mass (t)],"",0)</f>
        <v>17</v>
      </c>
      <c r="U184" cm="1">
        <f t="array" ref="U184">_xlfn.XLOOKUP(Mass_Data[[#This Row],[axle group 3]]&amp;Mass_Data[[#This Row],[Mass Scheme]],Axle_Data[Axle Code]&amp;Axle_Data[Mass Scheme],Axle_Data[MDL Maximum Mass (t)],"",0)</f>
        <v>22.5</v>
      </c>
      <c r="V184" cm="1">
        <f t="array" ref="V184">_xlfn.XLOOKUP(Mass_Data[[#This Row],[axle group 4]]&amp;Mass_Data[[#This Row],[Mass Scheme]],Axle_Data[Axle Code]&amp;Axle_Data[Mass Scheme],Axle_Data[MDL Maximum Mass (t)],"",0)</f>
        <v>22.5</v>
      </c>
      <c r="W184" cm="1">
        <f t="array" ref="W184">_xlfn.XLOOKUP(Mass_Data[[#This Row],[axle group 5]]&amp;Mass_Data[[#This Row],[Mass Scheme]],Axle_Data[Axle Code]&amp;Axle_Data[Mass Scheme],Axle_Data[MDL Maximum Mass (t)],"",0)</f>
        <v>22.5</v>
      </c>
      <c r="X184" t="str" cm="1">
        <f t="array" ref="X184">_xlfn.XLOOKUP(Mass_Data[[#This Row],[axle group 6]]&amp;Mass_Data[[#This Row],[Mass Scheme]],Axle_Data[Axle Code]&amp;Axle_Data[Mass Scheme],Axle_Data[MDL Maximum Mass (t)],"",0)</f>
        <v/>
      </c>
      <c r="Y184" t="str" cm="1">
        <f t="array" ref="Y184">_xlfn.XLOOKUP(Mass_Data[[#This Row],[axle group 7]]&amp;Mass_Data[[#This Row],[Mass Scheme]],Axle_Data[Axle Code]&amp;Axle_Data[Mass Scheme],Axle_Data[MDL Maximum Mass (t)],"",0)</f>
        <v/>
      </c>
      <c r="Z184" s="81">
        <f>SUM(Mass_Data[[#This Row],[MDL axle group 1 mass]:[MDL axle group 7 mass]])</f>
        <v>91</v>
      </c>
      <c r="AA184">
        <f>Mass_Data[[#This Row],[Total (1)]]-Mass_Data[[#This Row],[GCM (t)]]</f>
        <v>0.5</v>
      </c>
      <c r="AB184" t="str">
        <f>IF(Mass_Data[[#This Row],[Difference between MDL and GCM]]=0,"YES","NO")</f>
        <v>NO</v>
      </c>
      <c r="AC184" s="22">
        <f>IFERROR(IF(Mass_Data[[#This Row],[Check (1)]]="YES",Mass_Data[[#This Row],[MDL axle group 1 mass]],Mass_Data[[#This Row],[MDL axle group 1 mass]]-(Mass_Data[[#This Row],[Difference between MDL and GCM]]*(Mass_Data[[#This Row],[MDL axle group 1 mass]]/Mass_Data[[#This Row],[Total (1)]]))),"")</f>
        <v>6.4642857142857144</v>
      </c>
      <c r="AD184" s="22">
        <f>IFERROR(IF(Mass_Data[[#This Row],[Check (1)]]="YES",Mass_Data[[#This Row],[MDL axle group 2 mass]],Mass_Data[[#This Row],[MDL axle group 2 mass]]-(Mass_Data[[#This Row],[Difference between MDL and GCM]]*(Mass_Data[[#This Row],[MDL axle group 2 mass]]/Mass_Data[[#This Row],[Total (1)]]))),"")</f>
        <v>16.906593406593405</v>
      </c>
      <c r="AE184" s="22">
        <f>IFERROR(IF(Mass_Data[[#This Row],[Check (1)]]="YES",Mass_Data[[#This Row],[MDL axle group 3 mass]],Mass_Data[[#This Row],[MDL axle group 3 mass]]-(Mass_Data[[#This Row],[Difference between MDL and GCM]]*(Mass_Data[[#This Row],[MDL axle group 3 mass]]/Mass_Data[[#This Row],[Total (1)]]))),"")</f>
        <v>22.376373626373628</v>
      </c>
      <c r="AF184" s="22">
        <f>IFERROR(IF(Mass_Data[[#This Row],[Check (1)]]="YES",Mass_Data[[#This Row],[MDL axle group 4 mass]],Mass_Data[[#This Row],[MDL axle group 4 mass]]-(Mass_Data[[#This Row],[Difference between MDL and GCM]]*(Mass_Data[[#This Row],[MDL axle group 4 mass]]/Mass_Data[[#This Row],[Total (1)]]))),"")</f>
        <v>22.376373626373628</v>
      </c>
      <c r="AG184" s="22">
        <f>IFERROR(IF(Mass_Data[[#This Row],[Check (1)]]="YES",Mass_Data[[#This Row],[MDL axle group 5 mass]],Mass_Data[[#This Row],[MDL axle group 5 mass]]-(Mass_Data[[#This Row],[Difference between MDL and GCM]]*(Mass_Data[[#This Row],[MDL axle group 5 mass]]/Mass_Data[[#This Row],[Total (1)]]))),"")</f>
        <v>22.376373626373628</v>
      </c>
      <c r="AH184" s="22" t="str">
        <f>IFERROR(IF(Mass_Data[[#This Row],[Check (1)]]="YES",Mass_Data[[#This Row],[MDL axle group 6 mass]],Mass_Data[[#This Row],[MDL axle group 6 mass]]-(Mass_Data[[#This Row],[Difference between MDL and GCM]]*(Mass_Data[[#This Row],[MDL axle group 6 mass]]/Mass_Data[[#This Row],[Total (1)]]))),"")</f>
        <v/>
      </c>
      <c r="AI184" s="22" t="str">
        <f>IFERROR(IF(Mass_Data[[#This Row],[Check (1)]]="YES",Mass_Data[[#This Row],[MDL axle group 7 mass]],Mass_Data[[#This Row],[MDL axle group 7 mass]]-(Mass_Data[[#This Row],[Difference between MDL and GCM]]*(Mass_Data[[#This Row],[MDL axle group 7 mass]]/Mass_Data[[#This Row],[Total (1)]]))),"")</f>
        <v/>
      </c>
      <c r="AJ184" s="81">
        <f>SUM(Mass_Data[[#This Row],[Corrected axle group 1 mass]:[Corrected axle group 7 mass]])</f>
        <v>90.5</v>
      </c>
      <c r="AK184">
        <f>Mass_Data[[#This Row],[Total (2)]]-Mass_Data[[#This Row],[GCM (t)]]</f>
        <v>0</v>
      </c>
      <c r="AL184" s="22" t="str">
        <f>IF(Mass_Data[[#This Row],[Difference between MDL and corrected axle masses]]=0,"YES","NO")</f>
        <v>YES</v>
      </c>
    </row>
    <row r="185" spans="3:38" x14ac:dyDescent="0.35">
      <c r="C185" s="10" t="str">
        <f t="shared" si="2"/>
        <v>Conventional - 12-Axle B-Triple (GML)</v>
      </c>
      <c r="D185" s="10" t="s">
        <v>170</v>
      </c>
      <c r="E185" s="10" t="s">
        <v>220</v>
      </c>
      <c r="F185" s="12" t="s">
        <v>18</v>
      </c>
      <c r="G185" s="11" t="s">
        <v>202</v>
      </c>
      <c r="H185" t="s">
        <v>69</v>
      </c>
      <c r="I185" s="9">
        <v>82.5</v>
      </c>
      <c r="J185" s="14">
        <v>49.814157097012163</v>
      </c>
      <c r="K185" s="14">
        <f>Mass_Data[[#This Row],[GCM (t)]]-Mass_Data[[#This Row],[Payload (t)]]</f>
        <v>32.685842902987837</v>
      </c>
      <c r="L185" t="s">
        <v>8</v>
      </c>
      <c r="M185" t="s">
        <v>9</v>
      </c>
      <c r="N185" t="s">
        <v>10</v>
      </c>
      <c r="O185" t="s">
        <v>10</v>
      </c>
      <c r="P185" t="s">
        <v>10</v>
      </c>
      <c r="Q185">
        <v>0</v>
      </c>
      <c r="R185">
        <v>0</v>
      </c>
      <c r="S185" cm="1">
        <f t="array" ref="S185">_xlfn.XLOOKUP(Mass_Data[[#This Row],[axle group 1]]&amp;Mass_Data[[#This Row],[Mass Scheme]],Axle_Data[Axle Code]&amp;Axle_Data[Mass Scheme],Axle_Data[MDL Maximum Mass (t)],"",0)</f>
        <v>6.5</v>
      </c>
      <c r="T185" cm="1">
        <f t="array" ref="T185">_xlfn.XLOOKUP(Mass_Data[[#This Row],[axle group 2]]&amp;Mass_Data[[#This Row],[Mass Scheme]],Axle_Data[Axle Code]&amp;Axle_Data[Mass Scheme],Axle_Data[MDL Maximum Mass (t)],"",0)</f>
        <v>16.5</v>
      </c>
      <c r="U185" cm="1">
        <f t="array" ref="U185">_xlfn.XLOOKUP(Mass_Data[[#This Row],[axle group 3]]&amp;Mass_Data[[#This Row],[Mass Scheme]],Axle_Data[Axle Code]&amp;Axle_Data[Mass Scheme],Axle_Data[MDL Maximum Mass (t)],"",0)</f>
        <v>20</v>
      </c>
      <c r="V185" cm="1">
        <f t="array" ref="V185">_xlfn.XLOOKUP(Mass_Data[[#This Row],[axle group 4]]&amp;Mass_Data[[#This Row],[Mass Scheme]],Axle_Data[Axle Code]&amp;Axle_Data[Mass Scheme],Axle_Data[MDL Maximum Mass (t)],"",0)</f>
        <v>20</v>
      </c>
      <c r="W185" cm="1">
        <f t="array" ref="W185">_xlfn.XLOOKUP(Mass_Data[[#This Row],[axle group 5]]&amp;Mass_Data[[#This Row],[Mass Scheme]],Axle_Data[Axle Code]&amp;Axle_Data[Mass Scheme],Axle_Data[MDL Maximum Mass (t)],"",0)</f>
        <v>20</v>
      </c>
      <c r="X185" t="str" cm="1">
        <f t="array" ref="X185">_xlfn.XLOOKUP(Mass_Data[[#This Row],[axle group 6]]&amp;Mass_Data[[#This Row],[Mass Scheme]],Axle_Data[Axle Code]&amp;Axle_Data[Mass Scheme],Axle_Data[MDL Maximum Mass (t)],"",0)</f>
        <v/>
      </c>
      <c r="Y185" t="str" cm="1">
        <f t="array" ref="Y185">_xlfn.XLOOKUP(Mass_Data[[#This Row],[axle group 7]]&amp;Mass_Data[[#This Row],[Mass Scheme]],Axle_Data[Axle Code]&amp;Axle_Data[Mass Scheme],Axle_Data[MDL Maximum Mass (t)],"",0)</f>
        <v/>
      </c>
      <c r="Z185" s="81">
        <f>SUM(Mass_Data[[#This Row],[MDL axle group 1 mass]:[MDL axle group 7 mass]])</f>
        <v>83</v>
      </c>
      <c r="AA185">
        <f>Mass_Data[[#This Row],[Total (1)]]-Mass_Data[[#This Row],[GCM (t)]]</f>
        <v>0.5</v>
      </c>
      <c r="AB185" t="str">
        <f>IF(Mass_Data[[#This Row],[Difference between MDL and GCM]]=0,"YES","NO")</f>
        <v>NO</v>
      </c>
      <c r="AC185" s="22">
        <f>IFERROR(IF(Mass_Data[[#This Row],[Check (1)]]="YES",Mass_Data[[#This Row],[MDL axle group 1 mass]],Mass_Data[[#This Row],[MDL axle group 1 mass]]-(Mass_Data[[#This Row],[Difference between MDL and GCM]]*(Mass_Data[[#This Row],[MDL axle group 1 mass]]/Mass_Data[[#This Row],[Total (1)]]))),"")</f>
        <v>6.4608433734939759</v>
      </c>
      <c r="AD185" s="22">
        <f>IFERROR(IF(Mass_Data[[#This Row],[Check (1)]]="YES",Mass_Data[[#This Row],[MDL axle group 2 mass]],Mass_Data[[#This Row],[MDL axle group 2 mass]]-(Mass_Data[[#This Row],[Difference between MDL and GCM]]*(Mass_Data[[#This Row],[MDL axle group 2 mass]]/Mass_Data[[#This Row],[Total (1)]]))),"")</f>
        <v>16.400602409638555</v>
      </c>
      <c r="AE185" s="22">
        <f>IFERROR(IF(Mass_Data[[#This Row],[Check (1)]]="YES",Mass_Data[[#This Row],[MDL axle group 3 mass]],Mass_Data[[#This Row],[MDL axle group 3 mass]]-(Mass_Data[[#This Row],[Difference between MDL and GCM]]*(Mass_Data[[#This Row],[MDL axle group 3 mass]]/Mass_Data[[#This Row],[Total (1)]]))),"")</f>
        <v>19.879518072289155</v>
      </c>
      <c r="AF185" s="22">
        <f>IFERROR(IF(Mass_Data[[#This Row],[Check (1)]]="YES",Mass_Data[[#This Row],[MDL axle group 4 mass]],Mass_Data[[#This Row],[MDL axle group 4 mass]]-(Mass_Data[[#This Row],[Difference between MDL and GCM]]*(Mass_Data[[#This Row],[MDL axle group 4 mass]]/Mass_Data[[#This Row],[Total (1)]]))),"")</f>
        <v>19.879518072289155</v>
      </c>
      <c r="AG185" s="22">
        <f>IFERROR(IF(Mass_Data[[#This Row],[Check (1)]]="YES",Mass_Data[[#This Row],[MDL axle group 5 mass]],Mass_Data[[#This Row],[MDL axle group 5 mass]]-(Mass_Data[[#This Row],[Difference between MDL and GCM]]*(Mass_Data[[#This Row],[MDL axle group 5 mass]]/Mass_Data[[#This Row],[Total (1)]]))),"")</f>
        <v>19.879518072289155</v>
      </c>
      <c r="AH185" s="22" t="str">
        <f>IFERROR(IF(Mass_Data[[#This Row],[Check (1)]]="YES",Mass_Data[[#This Row],[MDL axle group 6 mass]],Mass_Data[[#This Row],[MDL axle group 6 mass]]-(Mass_Data[[#This Row],[Difference between MDL and GCM]]*(Mass_Data[[#This Row],[MDL axle group 6 mass]]/Mass_Data[[#This Row],[Total (1)]]))),"")</f>
        <v/>
      </c>
      <c r="AI185" s="22" t="str">
        <f>IFERROR(IF(Mass_Data[[#This Row],[Check (1)]]="YES",Mass_Data[[#This Row],[MDL axle group 7 mass]],Mass_Data[[#This Row],[MDL axle group 7 mass]]-(Mass_Data[[#This Row],[Difference between MDL and GCM]]*(Mass_Data[[#This Row],[MDL axle group 7 mass]]/Mass_Data[[#This Row],[Total (1)]]))),"")</f>
        <v/>
      </c>
      <c r="AJ185" s="81">
        <f>SUM(Mass_Data[[#This Row],[Corrected axle group 1 mass]:[Corrected axle group 7 mass]])</f>
        <v>82.5</v>
      </c>
      <c r="AK185">
        <f>Mass_Data[[#This Row],[Total (2)]]-Mass_Data[[#This Row],[GCM (t)]]</f>
        <v>0</v>
      </c>
      <c r="AL185" s="22" t="str">
        <f>IF(Mass_Data[[#This Row],[Difference between MDL and corrected axle masses]]=0,"YES","NO")</f>
        <v>YES</v>
      </c>
    </row>
    <row r="186" spans="3:38" x14ac:dyDescent="0.35">
      <c r="C186" s="10" t="str">
        <f t="shared" si="2"/>
        <v>Conventional - 12-Axle B-Triple (CML)</v>
      </c>
      <c r="D186" s="10" t="s">
        <v>170</v>
      </c>
      <c r="E186" s="10" t="s">
        <v>220</v>
      </c>
      <c r="F186" s="12" t="s">
        <v>20</v>
      </c>
      <c r="G186" s="11" t="s">
        <v>202</v>
      </c>
      <c r="H186" t="s">
        <v>69</v>
      </c>
      <c r="I186" s="9">
        <v>84.5</v>
      </c>
      <c r="J186" s="14">
        <v>51.814157097012163</v>
      </c>
      <c r="K186" s="14">
        <f>Mass_Data[[#This Row],[GCM (t)]]-Mass_Data[[#This Row],[Payload (t)]]</f>
        <v>32.685842902987837</v>
      </c>
      <c r="L186" t="s">
        <v>8</v>
      </c>
      <c r="M186" t="s">
        <v>9</v>
      </c>
      <c r="N186" t="s">
        <v>10</v>
      </c>
      <c r="O186" t="s">
        <v>10</v>
      </c>
      <c r="P186" t="s">
        <v>10</v>
      </c>
      <c r="Q186">
        <v>0</v>
      </c>
      <c r="R186">
        <v>0</v>
      </c>
      <c r="S186" cm="1">
        <f t="array" ref="S186">_xlfn.XLOOKUP(Mass_Data[[#This Row],[axle group 1]]&amp;Mass_Data[[#This Row],[Mass Scheme]],Axle_Data[Axle Code]&amp;Axle_Data[Mass Scheme],Axle_Data[MDL Maximum Mass (t)],"",0)</f>
        <v>6.5</v>
      </c>
      <c r="T186" cm="1">
        <f t="array" ref="T186">_xlfn.XLOOKUP(Mass_Data[[#This Row],[axle group 2]]&amp;Mass_Data[[#This Row],[Mass Scheme]],Axle_Data[Axle Code]&amp;Axle_Data[Mass Scheme],Axle_Data[MDL Maximum Mass (t)],"",0)</f>
        <v>17</v>
      </c>
      <c r="U186" cm="1">
        <f t="array" ref="U186">_xlfn.XLOOKUP(Mass_Data[[#This Row],[axle group 3]]&amp;Mass_Data[[#This Row],[Mass Scheme]],Axle_Data[Axle Code]&amp;Axle_Data[Mass Scheme],Axle_Data[MDL Maximum Mass (t)],"",0)</f>
        <v>21</v>
      </c>
      <c r="V186" cm="1">
        <f t="array" ref="V186">_xlfn.XLOOKUP(Mass_Data[[#This Row],[axle group 4]]&amp;Mass_Data[[#This Row],[Mass Scheme]],Axle_Data[Axle Code]&amp;Axle_Data[Mass Scheme],Axle_Data[MDL Maximum Mass (t)],"",0)</f>
        <v>21</v>
      </c>
      <c r="W186" cm="1">
        <f t="array" ref="W186">_xlfn.XLOOKUP(Mass_Data[[#This Row],[axle group 5]]&amp;Mass_Data[[#This Row],[Mass Scheme]],Axle_Data[Axle Code]&amp;Axle_Data[Mass Scheme],Axle_Data[MDL Maximum Mass (t)],"",0)</f>
        <v>21</v>
      </c>
      <c r="X186" t="str" cm="1">
        <f t="array" ref="X186">_xlfn.XLOOKUP(Mass_Data[[#This Row],[axle group 6]]&amp;Mass_Data[[#This Row],[Mass Scheme]],Axle_Data[Axle Code]&amp;Axle_Data[Mass Scheme],Axle_Data[MDL Maximum Mass (t)],"",0)</f>
        <v/>
      </c>
      <c r="Y186" t="str" cm="1">
        <f t="array" ref="Y186">_xlfn.XLOOKUP(Mass_Data[[#This Row],[axle group 7]]&amp;Mass_Data[[#This Row],[Mass Scheme]],Axle_Data[Axle Code]&amp;Axle_Data[Mass Scheme],Axle_Data[MDL Maximum Mass (t)],"",0)</f>
        <v/>
      </c>
      <c r="Z186" s="81">
        <f>SUM(Mass_Data[[#This Row],[MDL axle group 1 mass]:[MDL axle group 7 mass]])</f>
        <v>86.5</v>
      </c>
      <c r="AA186">
        <f>Mass_Data[[#This Row],[Total (1)]]-Mass_Data[[#This Row],[GCM (t)]]</f>
        <v>2</v>
      </c>
      <c r="AB186" t="str">
        <f>IF(Mass_Data[[#This Row],[Difference between MDL and GCM]]=0,"YES","NO")</f>
        <v>NO</v>
      </c>
      <c r="AC186" s="22">
        <f>IFERROR(IF(Mass_Data[[#This Row],[Check (1)]]="YES",Mass_Data[[#This Row],[MDL axle group 1 mass]],Mass_Data[[#This Row],[MDL axle group 1 mass]]-(Mass_Data[[#This Row],[Difference between MDL and GCM]]*(Mass_Data[[#This Row],[MDL axle group 1 mass]]/Mass_Data[[#This Row],[Total (1)]]))),"")</f>
        <v>6.3497109826589595</v>
      </c>
      <c r="AD186" s="22">
        <f>IFERROR(IF(Mass_Data[[#This Row],[Check (1)]]="YES",Mass_Data[[#This Row],[MDL axle group 2 mass]],Mass_Data[[#This Row],[MDL axle group 2 mass]]-(Mass_Data[[#This Row],[Difference between MDL and GCM]]*(Mass_Data[[#This Row],[MDL axle group 2 mass]]/Mass_Data[[#This Row],[Total (1)]]))),"")</f>
        <v>16.606936416184972</v>
      </c>
      <c r="AE186" s="22">
        <f>IFERROR(IF(Mass_Data[[#This Row],[Check (1)]]="YES",Mass_Data[[#This Row],[MDL axle group 3 mass]],Mass_Data[[#This Row],[MDL axle group 3 mass]]-(Mass_Data[[#This Row],[Difference between MDL and GCM]]*(Mass_Data[[#This Row],[MDL axle group 3 mass]]/Mass_Data[[#This Row],[Total (1)]]))),"")</f>
        <v>20.514450867052023</v>
      </c>
      <c r="AF186" s="22">
        <f>IFERROR(IF(Mass_Data[[#This Row],[Check (1)]]="YES",Mass_Data[[#This Row],[MDL axle group 4 mass]],Mass_Data[[#This Row],[MDL axle group 4 mass]]-(Mass_Data[[#This Row],[Difference between MDL and GCM]]*(Mass_Data[[#This Row],[MDL axle group 4 mass]]/Mass_Data[[#This Row],[Total (1)]]))),"")</f>
        <v>20.514450867052023</v>
      </c>
      <c r="AG186" s="22">
        <f>IFERROR(IF(Mass_Data[[#This Row],[Check (1)]]="YES",Mass_Data[[#This Row],[MDL axle group 5 mass]],Mass_Data[[#This Row],[MDL axle group 5 mass]]-(Mass_Data[[#This Row],[Difference between MDL and GCM]]*(Mass_Data[[#This Row],[MDL axle group 5 mass]]/Mass_Data[[#This Row],[Total (1)]]))),"")</f>
        <v>20.514450867052023</v>
      </c>
      <c r="AH186" s="22" t="str">
        <f>IFERROR(IF(Mass_Data[[#This Row],[Check (1)]]="YES",Mass_Data[[#This Row],[MDL axle group 6 mass]],Mass_Data[[#This Row],[MDL axle group 6 mass]]-(Mass_Data[[#This Row],[Difference between MDL and GCM]]*(Mass_Data[[#This Row],[MDL axle group 6 mass]]/Mass_Data[[#This Row],[Total (1)]]))),"")</f>
        <v/>
      </c>
      <c r="AI186" s="22" t="str">
        <f>IFERROR(IF(Mass_Data[[#This Row],[Check (1)]]="YES",Mass_Data[[#This Row],[MDL axle group 7 mass]],Mass_Data[[#This Row],[MDL axle group 7 mass]]-(Mass_Data[[#This Row],[Difference between MDL and GCM]]*(Mass_Data[[#This Row],[MDL axle group 7 mass]]/Mass_Data[[#This Row],[Total (1)]]))),"")</f>
        <v/>
      </c>
      <c r="AJ186" s="81">
        <f>SUM(Mass_Data[[#This Row],[Corrected axle group 1 mass]:[Corrected axle group 7 mass]])</f>
        <v>84.5</v>
      </c>
      <c r="AK186">
        <f>Mass_Data[[#This Row],[Total (2)]]-Mass_Data[[#This Row],[GCM (t)]]</f>
        <v>0</v>
      </c>
      <c r="AL186" s="22" t="str">
        <f>IF(Mass_Data[[#This Row],[Difference between MDL and corrected axle masses]]=0,"YES","NO")</f>
        <v>YES</v>
      </c>
    </row>
    <row r="187" spans="3:38" x14ac:dyDescent="0.35">
      <c r="C187" s="10" t="str">
        <f t="shared" si="2"/>
        <v>Conventional - 12-Axle B-Triple (HML)</v>
      </c>
      <c r="D187" s="10" t="s">
        <v>170</v>
      </c>
      <c r="E187" s="10" t="s">
        <v>220</v>
      </c>
      <c r="F187" s="12" t="s">
        <v>7</v>
      </c>
      <c r="G187" s="11" t="s">
        <v>202</v>
      </c>
      <c r="H187" t="s">
        <v>69</v>
      </c>
      <c r="I187" s="9">
        <v>90.5</v>
      </c>
      <c r="J187" s="14">
        <v>57.814157097012163</v>
      </c>
      <c r="K187" s="14">
        <f>Mass_Data[[#This Row],[GCM (t)]]-Mass_Data[[#This Row],[Payload (t)]]</f>
        <v>32.685842902987837</v>
      </c>
      <c r="L187" t="s">
        <v>8</v>
      </c>
      <c r="M187" t="s">
        <v>9</v>
      </c>
      <c r="N187" t="s">
        <v>10</v>
      </c>
      <c r="O187" t="s">
        <v>10</v>
      </c>
      <c r="P187" t="s">
        <v>10</v>
      </c>
      <c r="Q187">
        <v>0</v>
      </c>
      <c r="R187">
        <v>0</v>
      </c>
      <c r="S187" cm="1">
        <f t="array" ref="S187">_xlfn.XLOOKUP(Mass_Data[[#This Row],[axle group 1]]&amp;Mass_Data[[#This Row],[Mass Scheme]],Axle_Data[Axle Code]&amp;Axle_Data[Mass Scheme],Axle_Data[MDL Maximum Mass (t)],"",0)</f>
        <v>6.5</v>
      </c>
      <c r="T187" cm="1">
        <f t="array" ref="T187">_xlfn.XLOOKUP(Mass_Data[[#This Row],[axle group 2]]&amp;Mass_Data[[#This Row],[Mass Scheme]],Axle_Data[Axle Code]&amp;Axle_Data[Mass Scheme],Axle_Data[MDL Maximum Mass (t)],"",0)</f>
        <v>17</v>
      </c>
      <c r="U187" cm="1">
        <f t="array" ref="U187">_xlfn.XLOOKUP(Mass_Data[[#This Row],[axle group 3]]&amp;Mass_Data[[#This Row],[Mass Scheme]],Axle_Data[Axle Code]&amp;Axle_Data[Mass Scheme],Axle_Data[MDL Maximum Mass (t)],"",0)</f>
        <v>22.5</v>
      </c>
      <c r="V187" cm="1">
        <f t="array" ref="V187">_xlfn.XLOOKUP(Mass_Data[[#This Row],[axle group 4]]&amp;Mass_Data[[#This Row],[Mass Scheme]],Axle_Data[Axle Code]&amp;Axle_Data[Mass Scheme],Axle_Data[MDL Maximum Mass (t)],"",0)</f>
        <v>22.5</v>
      </c>
      <c r="W187" cm="1">
        <f t="array" ref="W187">_xlfn.XLOOKUP(Mass_Data[[#This Row],[axle group 5]]&amp;Mass_Data[[#This Row],[Mass Scheme]],Axle_Data[Axle Code]&amp;Axle_Data[Mass Scheme],Axle_Data[MDL Maximum Mass (t)],"",0)</f>
        <v>22.5</v>
      </c>
      <c r="X187" t="str" cm="1">
        <f t="array" ref="X187">_xlfn.XLOOKUP(Mass_Data[[#This Row],[axle group 6]]&amp;Mass_Data[[#This Row],[Mass Scheme]],Axle_Data[Axle Code]&amp;Axle_Data[Mass Scheme],Axle_Data[MDL Maximum Mass (t)],"",0)</f>
        <v/>
      </c>
      <c r="Y187" t="str" cm="1">
        <f t="array" ref="Y187">_xlfn.XLOOKUP(Mass_Data[[#This Row],[axle group 7]]&amp;Mass_Data[[#This Row],[Mass Scheme]],Axle_Data[Axle Code]&amp;Axle_Data[Mass Scheme],Axle_Data[MDL Maximum Mass (t)],"",0)</f>
        <v/>
      </c>
      <c r="Z187" s="81">
        <f>SUM(Mass_Data[[#This Row],[MDL axle group 1 mass]:[MDL axle group 7 mass]])</f>
        <v>91</v>
      </c>
      <c r="AA187">
        <f>Mass_Data[[#This Row],[Total (1)]]-Mass_Data[[#This Row],[GCM (t)]]</f>
        <v>0.5</v>
      </c>
      <c r="AB187" t="str">
        <f>IF(Mass_Data[[#This Row],[Difference between MDL and GCM]]=0,"YES","NO")</f>
        <v>NO</v>
      </c>
      <c r="AC187" s="22">
        <f>IFERROR(IF(Mass_Data[[#This Row],[Check (1)]]="YES",Mass_Data[[#This Row],[MDL axle group 1 mass]],Mass_Data[[#This Row],[MDL axle group 1 mass]]-(Mass_Data[[#This Row],[Difference between MDL and GCM]]*(Mass_Data[[#This Row],[MDL axle group 1 mass]]/Mass_Data[[#This Row],[Total (1)]]))),"")</f>
        <v>6.4642857142857144</v>
      </c>
      <c r="AD187" s="22">
        <f>IFERROR(IF(Mass_Data[[#This Row],[Check (1)]]="YES",Mass_Data[[#This Row],[MDL axle group 2 mass]],Mass_Data[[#This Row],[MDL axle group 2 mass]]-(Mass_Data[[#This Row],[Difference between MDL and GCM]]*(Mass_Data[[#This Row],[MDL axle group 2 mass]]/Mass_Data[[#This Row],[Total (1)]]))),"")</f>
        <v>16.906593406593405</v>
      </c>
      <c r="AE187" s="22">
        <f>IFERROR(IF(Mass_Data[[#This Row],[Check (1)]]="YES",Mass_Data[[#This Row],[MDL axle group 3 mass]],Mass_Data[[#This Row],[MDL axle group 3 mass]]-(Mass_Data[[#This Row],[Difference between MDL and GCM]]*(Mass_Data[[#This Row],[MDL axle group 3 mass]]/Mass_Data[[#This Row],[Total (1)]]))),"")</f>
        <v>22.376373626373628</v>
      </c>
      <c r="AF187" s="22">
        <f>IFERROR(IF(Mass_Data[[#This Row],[Check (1)]]="YES",Mass_Data[[#This Row],[MDL axle group 4 mass]],Mass_Data[[#This Row],[MDL axle group 4 mass]]-(Mass_Data[[#This Row],[Difference between MDL and GCM]]*(Mass_Data[[#This Row],[MDL axle group 4 mass]]/Mass_Data[[#This Row],[Total (1)]]))),"")</f>
        <v>22.376373626373628</v>
      </c>
      <c r="AG187" s="22">
        <f>IFERROR(IF(Mass_Data[[#This Row],[Check (1)]]="YES",Mass_Data[[#This Row],[MDL axle group 5 mass]],Mass_Data[[#This Row],[MDL axle group 5 mass]]-(Mass_Data[[#This Row],[Difference between MDL and GCM]]*(Mass_Data[[#This Row],[MDL axle group 5 mass]]/Mass_Data[[#This Row],[Total (1)]]))),"")</f>
        <v>22.376373626373628</v>
      </c>
      <c r="AH187" s="22" t="str">
        <f>IFERROR(IF(Mass_Data[[#This Row],[Check (1)]]="YES",Mass_Data[[#This Row],[MDL axle group 6 mass]],Mass_Data[[#This Row],[MDL axle group 6 mass]]-(Mass_Data[[#This Row],[Difference between MDL and GCM]]*(Mass_Data[[#This Row],[MDL axle group 6 mass]]/Mass_Data[[#This Row],[Total (1)]]))),"")</f>
        <v/>
      </c>
      <c r="AI187" s="22" t="str">
        <f>IFERROR(IF(Mass_Data[[#This Row],[Check (1)]]="YES",Mass_Data[[#This Row],[MDL axle group 7 mass]],Mass_Data[[#This Row],[MDL axle group 7 mass]]-(Mass_Data[[#This Row],[Difference between MDL and GCM]]*(Mass_Data[[#This Row],[MDL axle group 7 mass]]/Mass_Data[[#This Row],[Total (1)]]))),"")</f>
        <v/>
      </c>
      <c r="AJ187" s="81">
        <f>SUM(Mass_Data[[#This Row],[Corrected axle group 1 mass]:[Corrected axle group 7 mass]])</f>
        <v>90.5</v>
      </c>
      <c r="AK187">
        <f>Mass_Data[[#This Row],[Total (2)]]-Mass_Data[[#This Row],[GCM (t)]]</f>
        <v>0</v>
      </c>
      <c r="AL187" s="22" t="str">
        <f>IF(Mass_Data[[#This Row],[Difference between MDL and corrected axle masses]]=0,"YES","NO")</f>
        <v>YES</v>
      </c>
    </row>
    <row r="188" spans="3:38" x14ac:dyDescent="0.35">
      <c r="C188" s="10" t="str">
        <f t="shared" si="2"/>
        <v>Conventional - 14-Axle AB-Triple (GML)</v>
      </c>
      <c r="D188" s="10" t="s">
        <v>168</v>
      </c>
      <c r="E188" s="10" t="s">
        <v>220</v>
      </c>
      <c r="F188" s="12" t="s">
        <v>18</v>
      </c>
      <c r="G188" s="11" t="s">
        <v>202</v>
      </c>
      <c r="H188" t="s">
        <v>70</v>
      </c>
      <c r="I188" s="9">
        <v>99</v>
      </c>
      <c r="J188" s="14">
        <v>62.624443688583192</v>
      </c>
      <c r="K188" s="14">
        <f>Mass_Data[[#This Row],[GCM (t)]]-Mass_Data[[#This Row],[Payload (t)]]</f>
        <v>36.375556311416808</v>
      </c>
      <c r="L188" t="s">
        <v>8</v>
      </c>
      <c r="M188" t="s">
        <v>9</v>
      </c>
      <c r="N188" t="s">
        <v>10</v>
      </c>
      <c r="O188" t="s">
        <v>30</v>
      </c>
      <c r="P188" t="s">
        <v>10</v>
      </c>
      <c r="Q188" t="s">
        <v>10</v>
      </c>
      <c r="R188">
        <v>0</v>
      </c>
      <c r="S188" cm="1">
        <f t="array" ref="S188">_xlfn.XLOOKUP(Mass_Data[[#This Row],[axle group 1]]&amp;Mass_Data[[#This Row],[Mass Scheme]],Axle_Data[Axle Code]&amp;Axle_Data[Mass Scheme],Axle_Data[MDL Maximum Mass (t)],"",0)</f>
        <v>6.5</v>
      </c>
      <c r="T188" cm="1">
        <f t="array" ref="T188">_xlfn.XLOOKUP(Mass_Data[[#This Row],[axle group 2]]&amp;Mass_Data[[#This Row],[Mass Scheme]],Axle_Data[Axle Code]&amp;Axle_Data[Mass Scheme],Axle_Data[MDL Maximum Mass (t)],"",0)</f>
        <v>16.5</v>
      </c>
      <c r="U188" cm="1">
        <f t="array" ref="U188">_xlfn.XLOOKUP(Mass_Data[[#This Row],[axle group 3]]&amp;Mass_Data[[#This Row],[Mass Scheme]],Axle_Data[Axle Code]&amp;Axle_Data[Mass Scheme],Axle_Data[MDL Maximum Mass (t)],"",0)</f>
        <v>20</v>
      </c>
      <c r="V188" cm="1">
        <f t="array" ref="V188">_xlfn.XLOOKUP(Mass_Data[[#This Row],[axle group 4]]&amp;Mass_Data[[#This Row],[Mass Scheme]],Axle_Data[Axle Code]&amp;Axle_Data[Mass Scheme],Axle_Data[MDL Maximum Mass (t)],"",0)</f>
        <v>16.5</v>
      </c>
      <c r="W188" cm="1">
        <f t="array" ref="W188">_xlfn.XLOOKUP(Mass_Data[[#This Row],[axle group 5]]&amp;Mass_Data[[#This Row],[Mass Scheme]],Axle_Data[Axle Code]&amp;Axle_Data[Mass Scheme],Axle_Data[MDL Maximum Mass (t)],"",0)</f>
        <v>20</v>
      </c>
      <c r="X188" cm="1">
        <f t="array" ref="X188">_xlfn.XLOOKUP(Mass_Data[[#This Row],[axle group 6]]&amp;Mass_Data[[#This Row],[Mass Scheme]],Axle_Data[Axle Code]&amp;Axle_Data[Mass Scheme],Axle_Data[MDL Maximum Mass (t)],"",0)</f>
        <v>20</v>
      </c>
      <c r="Y188" t="str" cm="1">
        <f t="array" ref="Y188">_xlfn.XLOOKUP(Mass_Data[[#This Row],[axle group 7]]&amp;Mass_Data[[#This Row],[Mass Scheme]],Axle_Data[Axle Code]&amp;Axle_Data[Mass Scheme],Axle_Data[MDL Maximum Mass (t)],"",0)</f>
        <v/>
      </c>
      <c r="Z188" s="81">
        <f>SUM(Mass_Data[[#This Row],[MDL axle group 1 mass]:[MDL axle group 7 mass]])</f>
        <v>99.5</v>
      </c>
      <c r="AA188">
        <f>Mass_Data[[#This Row],[Total (1)]]-Mass_Data[[#This Row],[GCM (t)]]</f>
        <v>0.5</v>
      </c>
      <c r="AB188" t="str">
        <f>IF(Mass_Data[[#This Row],[Difference between MDL and GCM]]=0,"YES","NO")</f>
        <v>NO</v>
      </c>
      <c r="AC188" s="22">
        <f>IFERROR(IF(Mass_Data[[#This Row],[Check (1)]]="YES",Mass_Data[[#This Row],[MDL axle group 1 mass]],Mass_Data[[#This Row],[MDL axle group 1 mass]]-(Mass_Data[[#This Row],[Difference between MDL and GCM]]*(Mass_Data[[#This Row],[MDL axle group 1 mass]]/Mass_Data[[#This Row],[Total (1)]]))),"")</f>
        <v>6.4673366834170851</v>
      </c>
      <c r="AD188" s="22">
        <f>IFERROR(IF(Mass_Data[[#This Row],[Check (1)]]="YES",Mass_Data[[#This Row],[MDL axle group 2 mass]],Mass_Data[[#This Row],[MDL axle group 2 mass]]-(Mass_Data[[#This Row],[Difference between MDL and GCM]]*(Mass_Data[[#This Row],[MDL axle group 2 mass]]/Mass_Data[[#This Row],[Total (1)]]))),"")</f>
        <v>16.417085427135678</v>
      </c>
      <c r="AE188" s="22">
        <f>IFERROR(IF(Mass_Data[[#This Row],[Check (1)]]="YES",Mass_Data[[#This Row],[MDL axle group 3 mass]],Mass_Data[[#This Row],[MDL axle group 3 mass]]-(Mass_Data[[#This Row],[Difference between MDL and GCM]]*(Mass_Data[[#This Row],[MDL axle group 3 mass]]/Mass_Data[[#This Row],[Total (1)]]))),"")</f>
        <v>19.899497487437184</v>
      </c>
      <c r="AF188" s="22">
        <f>IFERROR(IF(Mass_Data[[#This Row],[Check (1)]]="YES",Mass_Data[[#This Row],[MDL axle group 4 mass]],Mass_Data[[#This Row],[MDL axle group 4 mass]]-(Mass_Data[[#This Row],[Difference between MDL and GCM]]*(Mass_Data[[#This Row],[MDL axle group 4 mass]]/Mass_Data[[#This Row],[Total (1)]]))),"")</f>
        <v>16.417085427135678</v>
      </c>
      <c r="AG188" s="22">
        <f>IFERROR(IF(Mass_Data[[#This Row],[Check (1)]]="YES",Mass_Data[[#This Row],[MDL axle group 5 mass]],Mass_Data[[#This Row],[MDL axle group 5 mass]]-(Mass_Data[[#This Row],[Difference between MDL and GCM]]*(Mass_Data[[#This Row],[MDL axle group 5 mass]]/Mass_Data[[#This Row],[Total (1)]]))),"")</f>
        <v>19.899497487437184</v>
      </c>
      <c r="AH188" s="22">
        <f>IFERROR(IF(Mass_Data[[#This Row],[Check (1)]]="YES",Mass_Data[[#This Row],[MDL axle group 6 mass]],Mass_Data[[#This Row],[MDL axle group 6 mass]]-(Mass_Data[[#This Row],[Difference between MDL and GCM]]*(Mass_Data[[#This Row],[MDL axle group 6 mass]]/Mass_Data[[#This Row],[Total (1)]]))),"")</f>
        <v>19.899497487437184</v>
      </c>
      <c r="AI188" s="22" t="str">
        <f>IFERROR(IF(Mass_Data[[#This Row],[Check (1)]]="YES",Mass_Data[[#This Row],[MDL axle group 7 mass]],Mass_Data[[#This Row],[MDL axle group 7 mass]]-(Mass_Data[[#This Row],[Difference between MDL and GCM]]*(Mass_Data[[#This Row],[MDL axle group 7 mass]]/Mass_Data[[#This Row],[Total (1)]]))),"")</f>
        <v/>
      </c>
      <c r="AJ188" s="81">
        <f>SUM(Mass_Data[[#This Row],[Corrected axle group 1 mass]:[Corrected axle group 7 mass]])</f>
        <v>99</v>
      </c>
      <c r="AK188">
        <f>Mass_Data[[#This Row],[Total (2)]]-Mass_Data[[#This Row],[GCM (t)]]</f>
        <v>0</v>
      </c>
      <c r="AL188" s="22" t="str">
        <f>IF(Mass_Data[[#This Row],[Difference between MDL and corrected axle masses]]=0,"YES","NO")</f>
        <v>YES</v>
      </c>
    </row>
    <row r="189" spans="3:38" x14ac:dyDescent="0.35">
      <c r="C189" s="10" t="str">
        <f t="shared" si="2"/>
        <v>Conventional - 14-Axle AB-Triple (CML)</v>
      </c>
      <c r="D189" s="10" t="s">
        <v>168</v>
      </c>
      <c r="E189" s="10" t="s">
        <v>220</v>
      </c>
      <c r="F189" s="12" t="s">
        <v>20</v>
      </c>
      <c r="G189" s="11" t="s">
        <v>202</v>
      </c>
      <c r="H189" t="s">
        <v>70</v>
      </c>
      <c r="I189" s="9">
        <v>101</v>
      </c>
      <c r="J189" s="14">
        <v>64.624443688583199</v>
      </c>
      <c r="K189" s="14">
        <f>Mass_Data[[#This Row],[GCM (t)]]-Mass_Data[[#This Row],[Payload (t)]]</f>
        <v>36.375556311416801</v>
      </c>
      <c r="L189" t="s">
        <v>8</v>
      </c>
      <c r="M189" t="s">
        <v>9</v>
      </c>
      <c r="N189" t="s">
        <v>10</v>
      </c>
      <c r="O189" t="s">
        <v>30</v>
      </c>
      <c r="P189" t="s">
        <v>10</v>
      </c>
      <c r="Q189" t="s">
        <v>10</v>
      </c>
      <c r="R189">
        <v>0</v>
      </c>
      <c r="S189" cm="1">
        <f t="array" ref="S189">_xlfn.XLOOKUP(Mass_Data[[#This Row],[axle group 1]]&amp;Mass_Data[[#This Row],[Mass Scheme]],Axle_Data[Axle Code]&amp;Axle_Data[Mass Scheme],Axle_Data[MDL Maximum Mass (t)],"",0)</f>
        <v>6.5</v>
      </c>
      <c r="T189" cm="1">
        <f t="array" ref="T189">_xlfn.XLOOKUP(Mass_Data[[#This Row],[axle group 2]]&amp;Mass_Data[[#This Row],[Mass Scheme]],Axle_Data[Axle Code]&amp;Axle_Data[Mass Scheme],Axle_Data[MDL Maximum Mass (t)],"",0)</f>
        <v>17</v>
      </c>
      <c r="U189" cm="1">
        <f t="array" ref="U189">_xlfn.XLOOKUP(Mass_Data[[#This Row],[axle group 3]]&amp;Mass_Data[[#This Row],[Mass Scheme]],Axle_Data[Axle Code]&amp;Axle_Data[Mass Scheme],Axle_Data[MDL Maximum Mass (t)],"",0)</f>
        <v>21</v>
      </c>
      <c r="V189" cm="1">
        <f t="array" ref="V189">_xlfn.XLOOKUP(Mass_Data[[#This Row],[axle group 4]]&amp;Mass_Data[[#This Row],[Mass Scheme]],Axle_Data[Axle Code]&amp;Axle_Data[Mass Scheme],Axle_Data[MDL Maximum Mass (t)],"",0)</f>
        <v>17</v>
      </c>
      <c r="W189" cm="1">
        <f t="array" ref="W189">_xlfn.XLOOKUP(Mass_Data[[#This Row],[axle group 5]]&amp;Mass_Data[[#This Row],[Mass Scheme]],Axle_Data[Axle Code]&amp;Axle_Data[Mass Scheme],Axle_Data[MDL Maximum Mass (t)],"",0)</f>
        <v>21</v>
      </c>
      <c r="X189" cm="1">
        <f t="array" ref="X189">_xlfn.XLOOKUP(Mass_Data[[#This Row],[axle group 6]]&amp;Mass_Data[[#This Row],[Mass Scheme]],Axle_Data[Axle Code]&amp;Axle_Data[Mass Scheme],Axle_Data[MDL Maximum Mass (t)],"",0)</f>
        <v>21</v>
      </c>
      <c r="Y189" t="str" cm="1">
        <f t="array" ref="Y189">_xlfn.XLOOKUP(Mass_Data[[#This Row],[axle group 7]]&amp;Mass_Data[[#This Row],[Mass Scheme]],Axle_Data[Axle Code]&amp;Axle_Data[Mass Scheme],Axle_Data[MDL Maximum Mass (t)],"",0)</f>
        <v/>
      </c>
      <c r="Z189" s="81">
        <f>SUM(Mass_Data[[#This Row],[MDL axle group 1 mass]:[MDL axle group 7 mass]])</f>
        <v>103.5</v>
      </c>
      <c r="AA189">
        <f>Mass_Data[[#This Row],[Total (1)]]-Mass_Data[[#This Row],[GCM (t)]]</f>
        <v>2.5</v>
      </c>
      <c r="AB189" t="str">
        <f>IF(Mass_Data[[#This Row],[Difference between MDL and GCM]]=0,"YES","NO")</f>
        <v>NO</v>
      </c>
      <c r="AC189" s="22">
        <f>IFERROR(IF(Mass_Data[[#This Row],[Check (1)]]="YES",Mass_Data[[#This Row],[MDL axle group 1 mass]],Mass_Data[[#This Row],[MDL axle group 1 mass]]-(Mass_Data[[#This Row],[Difference between MDL and GCM]]*(Mass_Data[[#This Row],[MDL axle group 1 mass]]/Mass_Data[[#This Row],[Total (1)]]))),"")</f>
        <v>6.3429951690821254</v>
      </c>
      <c r="AD189" s="22">
        <f>IFERROR(IF(Mass_Data[[#This Row],[Check (1)]]="YES",Mass_Data[[#This Row],[MDL axle group 2 mass]],Mass_Data[[#This Row],[MDL axle group 2 mass]]-(Mass_Data[[#This Row],[Difference between MDL and GCM]]*(Mass_Data[[#This Row],[MDL axle group 2 mass]]/Mass_Data[[#This Row],[Total (1)]]))),"")</f>
        <v>16.589371980676329</v>
      </c>
      <c r="AE189" s="22">
        <f>IFERROR(IF(Mass_Data[[#This Row],[Check (1)]]="YES",Mass_Data[[#This Row],[MDL axle group 3 mass]],Mass_Data[[#This Row],[MDL axle group 3 mass]]-(Mass_Data[[#This Row],[Difference between MDL and GCM]]*(Mass_Data[[#This Row],[MDL axle group 3 mass]]/Mass_Data[[#This Row],[Total (1)]]))),"")</f>
        <v>20.492753623188406</v>
      </c>
      <c r="AF189" s="22">
        <f>IFERROR(IF(Mass_Data[[#This Row],[Check (1)]]="YES",Mass_Data[[#This Row],[MDL axle group 4 mass]],Mass_Data[[#This Row],[MDL axle group 4 mass]]-(Mass_Data[[#This Row],[Difference between MDL and GCM]]*(Mass_Data[[#This Row],[MDL axle group 4 mass]]/Mass_Data[[#This Row],[Total (1)]]))),"")</f>
        <v>16.589371980676329</v>
      </c>
      <c r="AG189" s="22">
        <f>IFERROR(IF(Mass_Data[[#This Row],[Check (1)]]="YES",Mass_Data[[#This Row],[MDL axle group 5 mass]],Mass_Data[[#This Row],[MDL axle group 5 mass]]-(Mass_Data[[#This Row],[Difference between MDL and GCM]]*(Mass_Data[[#This Row],[MDL axle group 5 mass]]/Mass_Data[[#This Row],[Total (1)]]))),"")</f>
        <v>20.492753623188406</v>
      </c>
      <c r="AH189" s="22">
        <f>IFERROR(IF(Mass_Data[[#This Row],[Check (1)]]="YES",Mass_Data[[#This Row],[MDL axle group 6 mass]],Mass_Data[[#This Row],[MDL axle group 6 mass]]-(Mass_Data[[#This Row],[Difference between MDL and GCM]]*(Mass_Data[[#This Row],[MDL axle group 6 mass]]/Mass_Data[[#This Row],[Total (1)]]))),"")</f>
        <v>20.492753623188406</v>
      </c>
      <c r="AI189" s="22" t="str">
        <f>IFERROR(IF(Mass_Data[[#This Row],[Check (1)]]="YES",Mass_Data[[#This Row],[MDL axle group 7 mass]],Mass_Data[[#This Row],[MDL axle group 7 mass]]-(Mass_Data[[#This Row],[Difference between MDL and GCM]]*(Mass_Data[[#This Row],[MDL axle group 7 mass]]/Mass_Data[[#This Row],[Total (1)]]))),"")</f>
        <v/>
      </c>
      <c r="AJ189" s="81">
        <f>SUM(Mass_Data[[#This Row],[Corrected axle group 1 mass]:[Corrected axle group 7 mass]])</f>
        <v>101</v>
      </c>
      <c r="AK189">
        <f>Mass_Data[[#This Row],[Total (2)]]-Mass_Data[[#This Row],[GCM (t)]]</f>
        <v>0</v>
      </c>
      <c r="AL189" s="22" t="str">
        <f>IF(Mass_Data[[#This Row],[Difference between MDL and corrected axle masses]]=0,"YES","NO")</f>
        <v>YES</v>
      </c>
    </row>
    <row r="190" spans="3:38" x14ac:dyDescent="0.35">
      <c r="C190" s="10" t="str">
        <f t="shared" si="2"/>
        <v>Conventional - 14-Axle AB-Triple (HML)</v>
      </c>
      <c r="D190" s="10" t="s">
        <v>168</v>
      </c>
      <c r="E190" s="10" t="s">
        <v>220</v>
      </c>
      <c r="F190" s="12" t="s">
        <v>7</v>
      </c>
      <c r="G190" s="11" t="s">
        <v>202</v>
      </c>
      <c r="H190" t="s">
        <v>70</v>
      </c>
      <c r="I190" s="9">
        <v>107.5</v>
      </c>
      <c r="J190" s="14">
        <v>71.124443688583199</v>
      </c>
      <c r="K190" s="14">
        <f>Mass_Data[[#This Row],[GCM (t)]]-Mass_Data[[#This Row],[Payload (t)]]</f>
        <v>36.375556311416801</v>
      </c>
      <c r="L190" t="s">
        <v>8</v>
      </c>
      <c r="M190" t="s">
        <v>9</v>
      </c>
      <c r="N190" t="s">
        <v>10</v>
      </c>
      <c r="O190" t="s">
        <v>30</v>
      </c>
      <c r="P190" t="s">
        <v>10</v>
      </c>
      <c r="Q190" t="s">
        <v>10</v>
      </c>
      <c r="R190">
        <v>0</v>
      </c>
      <c r="S190" cm="1">
        <f t="array" ref="S190">_xlfn.XLOOKUP(Mass_Data[[#This Row],[axle group 1]]&amp;Mass_Data[[#This Row],[Mass Scheme]],Axle_Data[Axle Code]&amp;Axle_Data[Mass Scheme],Axle_Data[MDL Maximum Mass (t)],"",0)</f>
        <v>6.5</v>
      </c>
      <c r="T190" cm="1">
        <f t="array" ref="T190">_xlfn.XLOOKUP(Mass_Data[[#This Row],[axle group 2]]&amp;Mass_Data[[#This Row],[Mass Scheme]],Axle_Data[Axle Code]&amp;Axle_Data[Mass Scheme],Axle_Data[MDL Maximum Mass (t)],"",0)</f>
        <v>17</v>
      </c>
      <c r="U190" cm="1">
        <f t="array" ref="U190">_xlfn.XLOOKUP(Mass_Data[[#This Row],[axle group 3]]&amp;Mass_Data[[#This Row],[Mass Scheme]],Axle_Data[Axle Code]&amp;Axle_Data[Mass Scheme],Axle_Data[MDL Maximum Mass (t)],"",0)</f>
        <v>22.5</v>
      </c>
      <c r="V190" cm="1">
        <f t="array" ref="V190">_xlfn.XLOOKUP(Mass_Data[[#This Row],[axle group 4]]&amp;Mass_Data[[#This Row],[Mass Scheme]],Axle_Data[Axle Code]&amp;Axle_Data[Mass Scheme],Axle_Data[MDL Maximum Mass (t)],"",0)</f>
        <v>17</v>
      </c>
      <c r="W190" cm="1">
        <f t="array" ref="W190">_xlfn.XLOOKUP(Mass_Data[[#This Row],[axle group 5]]&amp;Mass_Data[[#This Row],[Mass Scheme]],Axle_Data[Axle Code]&amp;Axle_Data[Mass Scheme],Axle_Data[MDL Maximum Mass (t)],"",0)</f>
        <v>22.5</v>
      </c>
      <c r="X190" cm="1">
        <f t="array" ref="X190">_xlfn.XLOOKUP(Mass_Data[[#This Row],[axle group 6]]&amp;Mass_Data[[#This Row],[Mass Scheme]],Axle_Data[Axle Code]&amp;Axle_Data[Mass Scheme],Axle_Data[MDL Maximum Mass (t)],"",0)</f>
        <v>22.5</v>
      </c>
      <c r="Y190" t="str" cm="1">
        <f t="array" ref="Y190">_xlfn.XLOOKUP(Mass_Data[[#This Row],[axle group 7]]&amp;Mass_Data[[#This Row],[Mass Scheme]],Axle_Data[Axle Code]&amp;Axle_Data[Mass Scheme],Axle_Data[MDL Maximum Mass (t)],"",0)</f>
        <v/>
      </c>
      <c r="Z190" s="81">
        <f>SUM(Mass_Data[[#This Row],[MDL axle group 1 mass]:[MDL axle group 7 mass]])</f>
        <v>108</v>
      </c>
      <c r="AA190">
        <f>Mass_Data[[#This Row],[Total (1)]]-Mass_Data[[#This Row],[GCM (t)]]</f>
        <v>0.5</v>
      </c>
      <c r="AB190" t="str">
        <f>IF(Mass_Data[[#This Row],[Difference between MDL and GCM]]=0,"YES","NO")</f>
        <v>NO</v>
      </c>
      <c r="AC190" s="22">
        <f>IFERROR(IF(Mass_Data[[#This Row],[Check (1)]]="YES",Mass_Data[[#This Row],[MDL axle group 1 mass]],Mass_Data[[#This Row],[MDL axle group 1 mass]]-(Mass_Data[[#This Row],[Difference between MDL and GCM]]*(Mass_Data[[#This Row],[MDL axle group 1 mass]]/Mass_Data[[#This Row],[Total (1)]]))),"")</f>
        <v>6.4699074074074074</v>
      </c>
      <c r="AD190" s="22">
        <f>IFERROR(IF(Mass_Data[[#This Row],[Check (1)]]="YES",Mass_Data[[#This Row],[MDL axle group 2 mass]],Mass_Data[[#This Row],[MDL axle group 2 mass]]-(Mass_Data[[#This Row],[Difference between MDL and GCM]]*(Mass_Data[[#This Row],[MDL axle group 2 mass]]/Mass_Data[[#This Row],[Total (1)]]))),"")</f>
        <v>16.921296296296298</v>
      </c>
      <c r="AE190" s="22">
        <f>IFERROR(IF(Mass_Data[[#This Row],[Check (1)]]="YES",Mass_Data[[#This Row],[MDL axle group 3 mass]],Mass_Data[[#This Row],[MDL axle group 3 mass]]-(Mass_Data[[#This Row],[Difference between MDL and GCM]]*(Mass_Data[[#This Row],[MDL axle group 3 mass]]/Mass_Data[[#This Row],[Total (1)]]))),"")</f>
        <v>22.395833333333332</v>
      </c>
      <c r="AF190" s="22">
        <f>IFERROR(IF(Mass_Data[[#This Row],[Check (1)]]="YES",Mass_Data[[#This Row],[MDL axle group 4 mass]],Mass_Data[[#This Row],[MDL axle group 4 mass]]-(Mass_Data[[#This Row],[Difference between MDL and GCM]]*(Mass_Data[[#This Row],[MDL axle group 4 mass]]/Mass_Data[[#This Row],[Total (1)]]))),"")</f>
        <v>16.921296296296298</v>
      </c>
      <c r="AG190" s="22">
        <f>IFERROR(IF(Mass_Data[[#This Row],[Check (1)]]="YES",Mass_Data[[#This Row],[MDL axle group 5 mass]],Mass_Data[[#This Row],[MDL axle group 5 mass]]-(Mass_Data[[#This Row],[Difference between MDL and GCM]]*(Mass_Data[[#This Row],[MDL axle group 5 mass]]/Mass_Data[[#This Row],[Total (1)]]))),"")</f>
        <v>22.395833333333332</v>
      </c>
      <c r="AH190" s="22">
        <f>IFERROR(IF(Mass_Data[[#This Row],[Check (1)]]="YES",Mass_Data[[#This Row],[MDL axle group 6 mass]],Mass_Data[[#This Row],[MDL axle group 6 mass]]-(Mass_Data[[#This Row],[Difference between MDL and GCM]]*(Mass_Data[[#This Row],[MDL axle group 6 mass]]/Mass_Data[[#This Row],[Total (1)]]))),"")</f>
        <v>22.395833333333332</v>
      </c>
      <c r="AI190" s="22" t="str">
        <f>IFERROR(IF(Mass_Data[[#This Row],[Check (1)]]="YES",Mass_Data[[#This Row],[MDL axle group 7 mass]],Mass_Data[[#This Row],[MDL axle group 7 mass]]-(Mass_Data[[#This Row],[Difference between MDL and GCM]]*(Mass_Data[[#This Row],[MDL axle group 7 mass]]/Mass_Data[[#This Row],[Total (1)]]))),"")</f>
        <v/>
      </c>
      <c r="AJ190" s="81">
        <f>SUM(Mass_Data[[#This Row],[Corrected axle group 1 mass]:[Corrected axle group 7 mass]])</f>
        <v>107.5</v>
      </c>
      <c r="AK190">
        <f>Mass_Data[[#This Row],[Total (2)]]-Mass_Data[[#This Row],[GCM (t)]]</f>
        <v>0</v>
      </c>
      <c r="AL190" s="22" t="str">
        <f>IF(Mass_Data[[#This Row],[Difference between MDL and corrected axle masses]]=0,"YES","NO")</f>
        <v>YES</v>
      </c>
    </row>
    <row r="191" spans="3:38" x14ac:dyDescent="0.35">
      <c r="C191" s="10" t="str">
        <f t="shared" si="2"/>
        <v>Conventional - 15-Axle AB-Triple (GML)</v>
      </c>
      <c r="D191" s="10" t="s">
        <v>166</v>
      </c>
      <c r="E191" s="10" t="s">
        <v>220</v>
      </c>
      <c r="F191" s="12" t="s">
        <v>18</v>
      </c>
      <c r="G191" s="11" t="s">
        <v>202</v>
      </c>
      <c r="H191" t="s">
        <v>71</v>
      </c>
      <c r="I191" s="9">
        <v>102.5</v>
      </c>
      <c r="J191" s="14">
        <v>65.099606692246198</v>
      </c>
      <c r="K191" s="14">
        <f>Mass_Data[[#This Row],[GCM (t)]]-Mass_Data[[#This Row],[Payload (t)]]</f>
        <v>37.400393307753802</v>
      </c>
      <c r="L191" t="s">
        <v>8</v>
      </c>
      <c r="M191" t="s">
        <v>9</v>
      </c>
      <c r="N191" t="s">
        <v>10</v>
      </c>
      <c r="O191" t="s">
        <v>10</v>
      </c>
      <c r="P191" t="s">
        <v>10</v>
      </c>
      <c r="Q191" t="s">
        <v>10</v>
      </c>
      <c r="R191">
        <v>0</v>
      </c>
      <c r="S191" cm="1">
        <f t="array" ref="S191">_xlfn.XLOOKUP(Mass_Data[[#This Row],[axle group 1]]&amp;Mass_Data[[#This Row],[Mass Scheme]],Axle_Data[Axle Code]&amp;Axle_Data[Mass Scheme],Axle_Data[MDL Maximum Mass (t)],"",0)</f>
        <v>6.5</v>
      </c>
      <c r="T191" cm="1">
        <f t="array" ref="T191">_xlfn.XLOOKUP(Mass_Data[[#This Row],[axle group 2]]&amp;Mass_Data[[#This Row],[Mass Scheme]],Axle_Data[Axle Code]&amp;Axle_Data[Mass Scheme],Axle_Data[MDL Maximum Mass (t)],"",0)</f>
        <v>16.5</v>
      </c>
      <c r="U191" cm="1">
        <f t="array" ref="U191">_xlfn.XLOOKUP(Mass_Data[[#This Row],[axle group 3]]&amp;Mass_Data[[#This Row],[Mass Scheme]],Axle_Data[Axle Code]&amp;Axle_Data[Mass Scheme],Axle_Data[MDL Maximum Mass (t)],"",0)</f>
        <v>20</v>
      </c>
      <c r="V191" cm="1">
        <f t="array" ref="V191">_xlfn.XLOOKUP(Mass_Data[[#This Row],[axle group 4]]&amp;Mass_Data[[#This Row],[Mass Scheme]],Axle_Data[Axle Code]&amp;Axle_Data[Mass Scheme],Axle_Data[MDL Maximum Mass (t)],"",0)</f>
        <v>20</v>
      </c>
      <c r="W191" cm="1">
        <f t="array" ref="W191">_xlfn.XLOOKUP(Mass_Data[[#This Row],[axle group 5]]&amp;Mass_Data[[#This Row],[Mass Scheme]],Axle_Data[Axle Code]&amp;Axle_Data[Mass Scheme],Axle_Data[MDL Maximum Mass (t)],"",0)</f>
        <v>20</v>
      </c>
      <c r="X191" cm="1">
        <f t="array" ref="X191">_xlfn.XLOOKUP(Mass_Data[[#This Row],[axle group 6]]&amp;Mass_Data[[#This Row],[Mass Scheme]],Axle_Data[Axle Code]&amp;Axle_Data[Mass Scheme],Axle_Data[MDL Maximum Mass (t)],"",0)</f>
        <v>20</v>
      </c>
      <c r="Y191" t="str" cm="1">
        <f t="array" ref="Y191">_xlfn.XLOOKUP(Mass_Data[[#This Row],[axle group 7]]&amp;Mass_Data[[#This Row],[Mass Scheme]],Axle_Data[Axle Code]&amp;Axle_Data[Mass Scheme],Axle_Data[MDL Maximum Mass (t)],"",0)</f>
        <v/>
      </c>
      <c r="Z191" s="81">
        <f>SUM(Mass_Data[[#This Row],[MDL axle group 1 mass]:[MDL axle group 7 mass]])</f>
        <v>103</v>
      </c>
      <c r="AA191">
        <f>Mass_Data[[#This Row],[Total (1)]]-Mass_Data[[#This Row],[GCM (t)]]</f>
        <v>0.5</v>
      </c>
      <c r="AB191" t="str">
        <f>IF(Mass_Data[[#This Row],[Difference between MDL and GCM]]=0,"YES","NO")</f>
        <v>NO</v>
      </c>
      <c r="AC191" s="22">
        <f>IFERROR(IF(Mass_Data[[#This Row],[Check (1)]]="YES",Mass_Data[[#This Row],[MDL axle group 1 mass]],Mass_Data[[#This Row],[MDL axle group 1 mass]]-(Mass_Data[[#This Row],[Difference between MDL and GCM]]*(Mass_Data[[#This Row],[MDL axle group 1 mass]]/Mass_Data[[#This Row],[Total (1)]]))),"")</f>
        <v>6.4684466019417473</v>
      </c>
      <c r="AD191" s="22">
        <f>IFERROR(IF(Mass_Data[[#This Row],[Check (1)]]="YES",Mass_Data[[#This Row],[MDL axle group 2 mass]],Mass_Data[[#This Row],[MDL axle group 2 mass]]-(Mass_Data[[#This Row],[Difference between MDL and GCM]]*(Mass_Data[[#This Row],[MDL axle group 2 mass]]/Mass_Data[[#This Row],[Total (1)]]))),"")</f>
        <v>16.41990291262136</v>
      </c>
      <c r="AE191" s="22">
        <f>IFERROR(IF(Mass_Data[[#This Row],[Check (1)]]="YES",Mass_Data[[#This Row],[MDL axle group 3 mass]],Mass_Data[[#This Row],[MDL axle group 3 mass]]-(Mass_Data[[#This Row],[Difference between MDL and GCM]]*(Mass_Data[[#This Row],[MDL axle group 3 mass]]/Mass_Data[[#This Row],[Total (1)]]))),"")</f>
        <v>19.902912621359224</v>
      </c>
      <c r="AF191" s="22">
        <f>IFERROR(IF(Mass_Data[[#This Row],[Check (1)]]="YES",Mass_Data[[#This Row],[MDL axle group 4 mass]],Mass_Data[[#This Row],[MDL axle group 4 mass]]-(Mass_Data[[#This Row],[Difference between MDL and GCM]]*(Mass_Data[[#This Row],[MDL axle group 4 mass]]/Mass_Data[[#This Row],[Total (1)]]))),"")</f>
        <v>19.902912621359224</v>
      </c>
      <c r="AG191" s="22">
        <f>IFERROR(IF(Mass_Data[[#This Row],[Check (1)]]="YES",Mass_Data[[#This Row],[MDL axle group 5 mass]],Mass_Data[[#This Row],[MDL axle group 5 mass]]-(Mass_Data[[#This Row],[Difference between MDL and GCM]]*(Mass_Data[[#This Row],[MDL axle group 5 mass]]/Mass_Data[[#This Row],[Total (1)]]))),"")</f>
        <v>19.902912621359224</v>
      </c>
      <c r="AH191" s="22">
        <f>IFERROR(IF(Mass_Data[[#This Row],[Check (1)]]="YES",Mass_Data[[#This Row],[MDL axle group 6 mass]],Mass_Data[[#This Row],[MDL axle group 6 mass]]-(Mass_Data[[#This Row],[Difference between MDL and GCM]]*(Mass_Data[[#This Row],[MDL axle group 6 mass]]/Mass_Data[[#This Row],[Total (1)]]))),"")</f>
        <v>19.902912621359224</v>
      </c>
      <c r="AI191" s="22" t="str">
        <f>IFERROR(IF(Mass_Data[[#This Row],[Check (1)]]="YES",Mass_Data[[#This Row],[MDL axle group 7 mass]],Mass_Data[[#This Row],[MDL axle group 7 mass]]-(Mass_Data[[#This Row],[Difference between MDL and GCM]]*(Mass_Data[[#This Row],[MDL axle group 7 mass]]/Mass_Data[[#This Row],[Total (1)]]))),"")</f>
        <v/>
      </c>
      <c r="AJ191" s="81">
        <f>SUM(Mass_Data[[#This Row],[Corrected axle group 1 mass]:[Corrected axle group 7 mass]])</f>
        <v>102.5</v>
      </c>
      <c r="AK191">
        <f>Mass_Data[[#This Row],[Total (2)]]-Mass_Data[[#This Row],[GCM (t)]]</f>
        <v>0</v>
      </c>
      <c r="AL191" s="22" t="str">
        <f>IF(Mass_Data[[#This Row],[Difference between MDL and corrected axle masses]]=0,"YES","NO")</f>
        <v>YES</v>
      </c>
    </row>
    <row r="192" spans="3:38" x14ac:dyDescent="0.35">
      <c r="C192" s="10" t="str">
        <f t="shared" si="2"/>
        <v>Conventional - 15-Axle AB-Triple (CML)</v>
      </c>
      <c r="D192" s="10" t="s">
        <v>166</v>
      </c>
      <c r="E192" s="10" t="s">
        <v>220</v>
      </c>
      <c r="F192" s="12" t="s">
        <v>20</v>
      </c>
      <c r="G192" s="11" t="s">
        <v>202</v>
      </c>
      <c r="H192" t="s">
        <v>71</v>
      </c>
      <c r="I192" s="9">
        <v>104.5</v>
      </c>
      <c r="J192" s="14">
        <v>67.099606692246198</v>
      </c>
      <c r="K192" s="14">
        <f>Mass_Data[[#This Row],[GCM (t)]]-Mass_Data[[#This Row],[Payload (t)]]</f>
        <v>37.400393307753802</v>
      </c>
      <c r="L192" t="s">
        <v>8</v>
      </c>
      <c r="M192" t="s">
        <v>9</v>
      </c>
      <c r="N192" t="s">
        <v>10</v>
      </c>
      <c r="O192" t="s">
        <v>10</v>
      </c>
      <c r="P192" t="s">
        <v>10</v>
      </c>
      <c r="Q192" t="s">
        <v>10</v>
      </c>
      <c r="R192">
        <v>0</v>
      </c>
      <c r="S192" cm="1">
        <f t="array" ref="S192">_xlfn.XLOOKUP(Mass_Data[[#This Row],[axle group 1]]&amp;Mass_Data[[#This Row],[Mass Scheme]],Axle_Data[Axle Code]&amp;Axle_Data[Mass Scheme],Axle_Data[MDL Maximum Mass (t)],"",0)</f>
        <v>6.5</v>
      </c>
      <c r="T192" cm="1">
        <f t="array" ref="T192">_xlfn.XLOOKUP(Mass_Data[[#This Row],[axle group 2]]&amp;Mass_Data[[#This Row],[Mass Scheme]],Axle_Data[Axle Code]&amp;Axle_Data[Mass Scheme],Axle_Data[MDL Maximum Mass (t)],"",0)</f>
        <v>17</v>
      </c>
      <c r="U192" cm="1">
        <f t="array" ref="U192">_xlfn.XLOOKUP(Mass_Data[[#This Row],[axle group 3]]&amp;Mass_Data[[#This Row],[Mass Scheme]],Axle_Data[Axle Code]&amp;Axle_Data[Mass Scheme],Axle_Data[MDL Maximum Mass (t)],"",0)</f>
        <v>21</v>
      </c>
      <c r="V192" cm="1">
        <f t="array" ref="V192">_xlfn.XLOOKUP(Mass_Data[[#This Row],[axle group 4]]&amp;Mass_Data[[#This Row],[Mass Scheme]],Axle_Data[Axle Code]&amp;Axle_Data[Mass Scheme],Axle_Data[MDL Maximum Mass (t)],"",0)</f>
        <v>21</v>
      </c>
      <c r="W192" cm="1">
        <f t="array" ref="W192">_xlfn.XLOOKUP(Mass_Data[[#This Row],[axle group 5]]&amp;Mass_Data[[#This Row],[Mass Scheme]],Axle_Data[Axle Code]&amp;Axle_Data[Mass Scheme],Axle_Data[MDL Maximum Mass (t)],"",0)</f>
        <v>21</v>
      </c>
      <c r="X192" cm="1">
        <f t="array" ref="X192">_xlfn.XLOOKUP(Mass_Data[[#This Row],[axle group 6]]&amp;Mass_Data[[#This Row],[Mass Scheme]],Axle_Data[Axle Code]&amp;Axle_Data[Mass Scheme],Axle_Data[MDL Maximum Mass (t)],"",0)</f>
        <v>21</v>
      </c>
      <c r="Y192" t="str" cm="1">
        <f t="array" ref="Y192">_xlfn.XLOOKUP(Mass_Data[[#This Row],[axle group 7]]&amp;Mass_Data[[#This Row],[Mass Scheme]],Axle_Data[Axle Code]&amp;Axle_Data[Mass Scheme],Axle_Data[MDL Maximum Mass (t)],"",0)</f>
        <v/>
      </c>
      <c r="Z192" s="81">
        <f>SUM(Mass_Data[[#This Row],[MDL axle group 1 mass]:[MDL axle group 7 mass]])</f>
        <v>107.5</v>
      </c>
      <c r="AA192">
        <f>Mass_Data[[#This Row],[Total (1)]]-Mass_Data[[#This Row],[GCM (t)]]</f>
        <v>3</v>
      </c>
      <c r="AB192" t="str">
        <f>IF(Mass_Data[[#This Row],[Difference between MDL and GCM]]=0,"YES","NO")</f>
        <v>NO</v>
      </c>
      <c r="AC192" s="22">
        <f>IFERROR(IF(Mass_Data[[#This Row],[Check (1)]]="YES",Mass_Data[[#This Row],[MDL axle group 1 mass]],Mass_Data[[#This Row],[MDL axle group 1 mass]]-(Mass_Data[[#This Row],[Difference between MDL and GCM]]*(Mass_Data[[#This Row],[MDL axle group 1 mass]]/Mass_Data[[#This Row],[Total (1)]]))),"")</f>
        <v>6.3186046511627909</v>
      </c>
      <c r="AD192" s="22">
        <f>IFERROR(IF(Mass_Data[[#This Row],[Check (1)]]="YES",Mass_Data[[#This Row],[MDL axle group 2 mass]],Mass_Data[[#This Row],[MDL axle group 2 mass]]-(Mass_Data[[#This Row],[Difference between MDL and GCM]]*(Mass_Data[[#This Row],[MDL axle group 2 mass]]/Mass_Data[[#This Row],[Total (1)]]))),"")</f>
        <v>16.525581395348837</v>
      </c>
      <c r="AE192" s="22">
        <f>IFERROR(IF(Mass_Data[[#This Row],[Check (1)]]="YES",Mass_Data[[#This Row],[MDL axle group 3 mass]],Mass_Data[[#This Row],[MDL axle group 3 mass]]-(Mass_Data[[#This Row],[Difference between MDL and GCM]]*(Mass_Data[[#This Row],[MDL axle group 3 mass]]/Mass_Data[[#This Row],[Total (1)]]))),"")</f>
        <v>20.413953488372094</v>
      </c>
      <c r="AF192" s="22">
        <f>IFERROR(IF(Mass_Data[[#This Row],[Check (1)]]="YES",Mass_Data[[#This Row],[MDL axle group 4 mass]],Mass_Data[[#This Row],[MDL axle group 4 mass]]-(Mass_Data[[#This Row],[Difference between MDL and GCM]]*(Mass_Data[[#This Row],[MDL axle group 4 mass]]/Mass_Data[[#This Row],[Total (1)]]))),"")</f>
        <v>20.413953488372094</v>
      </c>
      <c r="AG192" s="22">
        <f>IFERROR(IF(Mass_Data[[#This Row],[Check (1)]]="YES",Mass_Data[[#This Row],[MDL axle group 5 mass]],Mass_Data[[#This Row],[MDL axle group 5 mass]]-(Mass_Data[[#This Row],[Difference between MDL and GCM]]*(Mass_Data[[#This Row],[MDL axle group 5 mass]]/Mass_Data[[#This Row],[Total (1)]]))),"")</f>
        <v>20.413953488372094</v>
      </c>
      <c r="AH192" s="22">
        <f>IFERROR(IF(Mass_Data[[#This Row],[Check (1)]]="YES",Mass_Data[[#This Row],[MDL axle group 6 mass]],Mass_Data[[#This Row],[MDL axle group 6 mass]]-(Mass_Data[[#This Row],[Difference between MDL and GCM]]*(Mass_Data[[#This Row],[MDL axle group 6 mass]]/Mass_Data[[#This Row],[Total (1)]]))),"")</f>
        <v>20.413953488372094</v>
      </c>
      <c r="AI192" s="22" t="str">
        <f>IFERROR(IF(Mass_Data[[#This Row],[Check (1)]]="YES",Mass_Data[[#This Row],[MDL axle group 7 mass]],Mass_Data[[#This Row],[MDL axle group 7 mass]]-(Mass_Data[[#This Row],[Difference between MDL and GCM]]*(Mass_Data[[#This Row],[MDL axle group 7 mass]]/Mass_Data[[#This Row],[Total (1)]]))),"")</f>
        <v/>
      </c>
      <c r="AJ192" s="81">
        <f>SUM(Mass_Data[[#This Row],[Corrected axle group 1 mass]:[Corrected axle group 7 mass]])</f>
        <v>104.5</v>
      </c>
      <c r="AK192">
        <f>Mass_Data[[#This Row],[Total (2)]]-Mass_Data[[#This Row],[GCM (t)]]</f>
        <v>0</v>
      </c>
      <c r="AL192" s="22" t="str">
        <f>IF(Mass_Data[[#This Row],[Difference between MDL and corrected axle masses]]=0,"YES","NO")</f>
        <v>YES</v>
      </c>
    </row>
    <row r="193" spans="3:38" x14ac:dyDescent="0.35">
      <c r="C193" s="10" t="str">
        <f t="shared" si="2"/>
        <v>Conventional - 15-Axle AB-Triple (HML)</v>
      </c>
      <c r="D193" s="10" t="s">
        <v>166</v>
      </c>
      <c r="E193" s="10" t="s">
        <v>220</v>
      </c>
      <c r="F193" s="12" t="s">
        <v>7</v>
      </c>
      <c r="G193" s="11" t="s">
        <v>202</v>
      </c>
      <c r="H193" t="s">
        <v>71</v>
      </c>
      <c r="I193" s="9">
        <v>113</v>
      </c>
      <c r="J193" s="14">
        <v>75.599606692246198</v>
      </c>
      <c r="K193" s="14">
        <f>Mass_Data[[#This Row],[GCM (t)]]-Mass_Data[[#This Row],[Payload (t)]]</f>
        <v>37.400393307753802</v>
      </c>
      <c r="L193" t="s">
        <v>8</v>
      </c>
      <c r="M193" t="s">
        <v>9</v>
      </c>
      <c r="N193" t="s">
        <v>10</v>
      </c>
      <c r="O193" t="s">
        <v>10</v>
      </c>
      <c r="P193" t="s">
        <v>10</v>
      </c>
      <c r="Q193" t="s">
        <v>10</v>
      </c>
      <c r="R193">
        <v>0</v>
      </c>
      <c r="S193" cm="1">
        <f t="array" ref="S193">_xlfn.XLOOKUP(Mass_Data[[#This Row],[axle group 1]]&amp;Mass_Data[[#This Row],[Mass Scheme]],Axle_Data[Axle Code]&amp;Axle_Data[Mass Scheme],Axle_Data[MDL Maximum Mass (t)],"",0)</f>
        <v>6.5</v>
      </c>
      <c r="T193" cm="1">
        <f t="array" ref="T193">_xlfn.XLOOKUP(Mass_Data[[#This Row],[axle group 2]]&amp;Mass_Data[[#This Row],[Mass Scheme]],Axle_Data[Axle Code]&amp;Axle_Data[Mass Scheme],Axle_Data[MDL Maximum Mass (t)],"",0)</f>
        <v>17</v>
      </c>
      <c r="U193" cm="1">
        <f t="array" ref="U193">_xlfn.XLOOKUP(Mass_Data[[#This Row],[axle group 3]]&amp;Mass_Data[[#This Row],[Mass Scheme]],Axle_Data[Axle Code]&amp;Axle_Data[Mass Scheme],Axle_Data[MDL Maximum Mass (t)],"",0)</f>
        <v>22.5</v>
      </c>
      <c r="V193" cm="1">
        <f t="array" ref="V193">_xlfn.XLOOKUP(Mass_Data[[#This Row],[axle group 4]]&amp;Mass_Data[[#This Row],[Mass Scheme]],Axle_Data[Axle Code]&amp;Axle_Data[Mass Scheme],Axle_Data[MDL Maximum Mass (t)],"",0)</f>
        <v>22.5</v>
      </c>
      <c r="W193" cm="1">
        <f t="array" ref="W193">_xlfn.XLOOKUP(Mass_Data[[#This Row],[axle group 5]]&amp;Mass_Data[[#This Row],[Mass Scheme]],Axle_Data[Axle Code]&amp;Axle_Data[Mass Scheme],Axle_Data[MDL Maximum Mass (t)],"",0)</f>
        <v>22.5</v>
      </c>
      <c r="X193" cm="1">
        <f t="array" ref="X193">_xlfn.XLOOKUP(Mass_Data[[#This Row],[axle group 6]]&amp;Mass_Data[[#This Row],[Mass Scheme]],Axle_Data[Axle Code]&amp;Axle_Data[Mass Scheme],Axle_Data[MDL Maximum Mass (t)],"",0)</f>
        <v>22.5</v>
      </c>
      <c r="Y193" t="str" cm="1">
        <f t="array" ref="Y193">_xlfn.XLOOKUP(Mass_Data[[#This Row],[axle group 7]]&amp;Mass_Data[[#This Row],[Mass Scheme]],Axle_Data[Axle Code]&amp;Axle_Data[Mass Scheme],Axle_Data[MDL Maximum Mass (t)],"",0)</f>
        <v/>
      </c>
      <c r="Z193" s="81">
        <f>SUM(Mass_Data[[#This Row],[MDL axle group 1 mass]:[MDL axle group 7 mass]])</f>
        <v>113.5</v>
      </c>
      <c r="AA193">
        <f>Mass_Data[[#This Row],[Total (1)]]-Mass_Data[[#This Row],[GCM (t)]]</f>
        <v>0.5</v>
      </c>
      <c r="AB193" t="str">
        <f>IF(Mass_Data[[#This Row],[Difference between MDL and GCM]]=0,"YES","NO")</f>
        <v>NO</v>
      </c>
      <c r="AC193" s="22">
        <f>IFERROR(IF(Mass_Data[[#This Row],[Check (1)]]="YES",Mass_Data[[#This Row],[MDL axle group 1 mass]],Mass_Data[[#This Row],[MDL axle group 1 mass]]-(Mass_Data[[#This Row],[Difference between MDL and GCM]]*(Mass_Data[[#This Row],[MDL axle group 1 mass]]/Mass_Data[[#This Row],[Total (1)]]))),"")</f>
        <v>6.4713656387665202</v>
      </c>
      <c r="AD193" s="22">
        <f>IFERROR(IF(Mass_Data[[#This Row],[Check (1)]]="YES",Mass_Data[[#This Row],[MDL axle group 2 mass]],Mass_Data[[#This Row],[MDL axle group 2 mass]]-(Mass_Data[[#This Row],[Difference between MDL and GCM]]*(Mass_Data[[#This Row],[MDL axle group 2 mass]]/Mass_Data[[#This Row],[Total (1)]]))),"")</f>
        <v>16.92511013215859</v>
      </c>
      <c r="AE193" s="22">
        <f>IFERROR(IF(Mass_Data[[#This Row],[Check (1)]]="YES",Mass_Data[[#This Row],[MDL axle group 3 mass]],Mass_Data[[#This Row],[MDL axle group 3 mass]]-(Mass_Data[[#This Row],[Difference between MDL and GCM]]*(Mass_Data[[#This Row],[MDL axle group 3 mass]]/Mass_Data[[#This Row],[Total (1)]]))),"")</f>
        <v>22.400881057268723</v>
      </c>
      <c r="AF193" s="22">
        <f>IFERROR(IF(Mass_Data[[#This Row],[Check (1)]]="YES",Mass_Data[[#This Row],[MDL axle group 4 mass]],Mass_Data[[#This Row],[MDL axle group 4 mass]]-(Mass_Data[[#This Row],[Difference between MDL and GCM]]*(Mass_Data[[#This Row],[MDL axle group 4 mass]]/Mass_Data[[#This Row],[Total (1)]]))),"")</f>
        <v>22.400881057268723</v>
      </c>
      <c r="AG193" s="22">
        <f>IFERROR(IF(Mass_Data[[#This Row],[Check (1)]]="YES",Mass_Data[[#This Row],[MDL axle group 5 mass]],Mass_Data[[#This Row],[MDL axle group 5 mass]]-(Mass_Data[[#This Row],[Difference between MDL and GCM]]*(Mass_Data[[#This Row],[MDL axle group 5 mass]]/Mass_Data[[#This Row],[Total (1)]]))),"")</f>
        <v>22.400881057268723</v>
      </c>
      <c r="AH193" s="22">
        <f>IFERROR(IF(Mass_Data[[#This Row],[Check (1)]]="YES",Mass_Data[[#This Row],[MDL axle group 6 mass]],Mass_Data[[#This Row],[MDL axle group 6 mass]]-(Mass_Data[[#This Row],[Difference between MDL and GCM]]*(Mass_Data[[#This Row],[MDL axle group 6 mass]]/Mass_Data[[#This Row],[Total (1)]]))),"")</f>
        <v>22.400881057268723</v>
      </c>
      <c r="AI193" s="22" t="str">
        <f>IFERROR(IF(Mass_Data[[#This Row],[Check (1)]]="YES",Mass_Data[[#This Row],[MDL axle group 7 mass]],Mass_Data[[#This Row],[MDL axle group 7 mass]]-(Mass_Data[[#This Row],[Difference between MDL and GCM]]*(Mass_Data[[#This Row],[MDL axle group 7 mass]]/Mass_Data[[#This Row],[Total (1)]]))),"")</f>
        <v/>
      </c>
      <c r="AJ193" s="81">
        <f>SUM(Mass_Data[[#This Row],[Corrected axle group 1 mass]:[Corrected axle group 7 mass]])</f>
        <v>113</v>
      </c>
      <c r="AK193">
        <f>Mass_Data[[#This Row],[Total (2)]]-Mass_Data[[#This Row],[GCM (t)]]</f>
        <v>0</v>
      </c>
      <c r="AL193" s="22" t="str">
        <f>IF(Mass_Data[[#This Row],[Difference between MDL and corrected axle masses]]=0,"YES","NO")</f>
        <v>YES</v>
      </c>
    </row>
    <row r="194" spans="3:38" x14ac:dyDescent="0.35">
      <c r="C194" s="10" t="str">
        <f t="shared" si="2"/>
        <v>Conventional - 11-Axle Rigid Truck and 2 Dog Trailers (GML)</v>
      </c>
      <c r="D194" s="10" t="s">
        <v>164</v>
      </c>
      <c r="E194" s="10" t="s">
        <v>220</v>
      </c>
      <c r="F194" s="12" t="s">
        <v>18</v>
      </c>
      <c r="G194" s="11" t="s">
        <v>202</v>
      </c>
      <c r="H194" t="s">
        <v>140</v>
      </c>
      <c r="I194" s="9">
        <v>88.5</v>
      </c>
      <c r="J194" s="14">
        <v>63.005092307692301</v>
      </c>
      <c r="K194" s="14">
        <f>Mass_Data[[#This Row],[GCM (t)]]-Mass_Data[[#This Row],[Payload (t)]]</f>
        <v>25.494907692307699</v>
      </c>
      <c r="L194" t="s">
        <v>8</v>
      </c>
      <c r="M194" t="s">
        <v>9</v>
      </c>
      <c r="N194" t="s">
        <v>30</v>
      </c>
      <c r="O194" t="s">
        <v>30</v>
      </c>
      <c r="P194" t="s">
        <v>30</v>
      </c>
      <c r="Q194" t="s">
        <v>30</v>
      </c>
      <c r="R194">
        <v>0</v>
      </c>
      <c r="S194" cm="1">
        <f t="array" ref="S194">_xlfn.XLOOKUP(Mass_Data[[#This Row],[axle group 1]]&amp;Mass_Data[[#This Row],[Mass Scheme]],Axle_Data[Axle Code]&amp;Axle_Data[Mass Scheme],Axle_Data[MDL Maximum Mass (t)],"",0)</f>
        <v>6.5</v>
      </c>
      <c r="T194" cm="1">
        <f t="array" ref="T194">_xlfn.XLOOKUP(Mass_Data[[#This Row],[axle group 2]]&amp;Mass_Data[[#This Row],[Mass Scheme]],Axle_Data[Axle Code]&amp;Axle_Data[Mass Scheme],Axle_Data[MDL Maximum Mass (t)],"",0)</f>
        <v>16.5</v>
      </c>
      <c r="U194" cm="1">
        <f t="array" ref="U194">_xlfn.XLOOKUP(Mass_Data[[#This Row],[axle group 3]]&amp;Mass_Data[[#This Row],[Mass Scheme]],Axle_Data[Axle Code]&amp;Axle_Data[Mass Scheme],Axle_Data[MDL Maximum Mass (t)],"",0)</f>
        <v>16.5</v>
      </c>
      <c r="V194" cm="1">
        <f t="array" ref="V194">_xlfn.XLOOKUP(Mass_Data[[#This Row],[axle group 4]]&amp;Mass_Data[[#This Row],[Mass Scheme]],Axle_Data[Axle Code]&amp;Axle_Data[Mass Scheme],Axle_Data[MDL Maximum Mass (t)],"",0)</f>
        <v>16.5</v>
      </c>
      <c r="W194" cm="1">
        <f t="array" ref="W194">_xlfn.XLOOKUP(Mass_Data[[#This Row],[axle group 5]]&amp;Mass_Data[[#This Row],[Mass Scheme]],Axle_Data[Axle Code]&amp;Axle_Data[Mass Scheme],Axle_Data[MDL Maximum Mass (t)],"",0)</f>
        <v>16.5</v>
      </c>
      <c r="X194" cm="1">
        <f t="array" ref="X194">_xlfn.XLOOKUP(Mass_Data[[#This Row],[axle group 6]]&amp;Mass_Data[[#This Row],[Mass Scheme]],Axle_Data[Axle Code]&amp;Axle_Data[Mass Scheme],Axle_Data[MDL Maximum Mass (t)],"",0)</f>
        <v>16.5</v>
      </c>
      <c r="Y194" t="str" cm="1">
        <f t="array" ref="Y194">_xlfn.XLOOKUP(Mass_Data[[#This Row],[axle group 7]]&amp;Mass_Data[[#This Row],[Mass Scheme]],Axle_Data[Axle Code]&amp;Axle_Data[Mass Scheme],Axle_Data[MDL Maximum Mass (t)],"",0)</f>
        <v/>
      </c>
      <c r="Z194" s="81">
        <f>SUM(Mass_Data[[#This Row],[MDL axle group 1 mass]:[MDL axle group 7 mass]])</f>
        <v>89</v>
      </c>
      <c r="AA194">
        <f>Mass_Data[[#This Row],[Total (1)]]-Mass_Data[[#This Row],[GCM (t)]]</f>
        <v>0.5</v>
      </c>
      <c r="AB194" t="str">
        <f>IF(Mass_Data[[#This Row],[Difference between MDL and GCM]]=0,"YES","NO")</f>
        <v>NO</v>
      </c>
      <c r="AC194" s="22">
        <f>IFERROR(IF(Mass_Data[[#This Row],[Check (1)]]="YES",Mass_Data[[#This Row],[MDL axle group 1 mass]],Mass_Data[[#This Row],[MDL axle group 1 mass]]-(Mass_Data[[#This Row],[Difference between MDL and GCM]]*(Mass_Data[[#This Row],[MDL axle group 1 mass]]/Mass_Data[[#This Row],[Total (1)]]))),"")</f>
        <v>6.463483146067416</v>
      </c>
      <c r="AD194" s="22">
        <f>IFERROR(IF(Mass_Data[[#This Row],[Check (1)]]="YES",Mass_Data[[#This Row],[MDL axle group 2 mass]],Mass_Data[[#This Row],[MDL axle group 2 mass]]-(Mass_Data[[#This Row],[Difference between MDL and GCM]]*(Mass_Data[[#This Row],[MDL axle group 2 mass]]/Mass_Data[[#This Row],[Total (1)]]))),"")</f>
        <v>16.407303370786519</v>
      </c>
      <c r="AE194" s="22">
        <f>IFERROR(IF(Mass_Data[[#This Row],[Check (1)]]="YES",Mass_Data[[#This Row],[MDL axle group 3 mass]],Mass_Data[[#This Row],[MDL axle group 3 mass]]-(Mass_Data[[#This Row],[Difference between MDL and GCM]]*(Mass_Data[[#This Row],[MDL axle group 3 mass]]/Mass_Data[[#This Row],[Total (1)]]))),"")</f>
        <v>16.407303370786519</v>
      </c>
      <c r="AF194" s="22">
        <f>IFERROR(IF(Mass_Data[[#This Row],[Check (1)]]="YES",Mass_Data[[#This Row],[MDL axle group 4 mass]],Mass_Data[[#This Row],[MDL axle group 4 mass]]-(Mass_Data[[#This Row],[Difference between MDL and GCM]]*(Mass_Data[[#This Row],[MDL axle group 4 mass]]/Mass_Data[[#This Row],[Total (1)]]))),"")</f>
        <v>16.407303370786519</v>
      </c>
      <c r="AG194" s="22">
        <f>IFERROR(IF(Mass_Data[[#This Row],[Check (1)]]="YES",Mass_Data[[#This Row],[MDL axle group 5 mass]],Mass_Data[[#This Row],[MDL axle group 5 mass]]-(Mass_Data[[#This Row],[Difference between MDL and GCM]]*(Mass_Data[[#This Row],[MDL axle group 5 mass]]/Mass_Data[[#This Row],[Total (1)]]))),"")</f>
        <v>16.407303370786519</v>
      </c>
      <c r="AH194" s="22">
        <f>IFERROR(IF(Mass_Data[[#This Row],[Check (1)]]="YES",Mass_Data[[#This Row],[MDL axle group 6 mass]],Mass_Data[[#This Row],[MDL axle group 6 mass]]-(Mass_Data[[#This Row],[Difference between MDL and GCM]]*(Mass_Data[[#This Row],[MDL axle group 6 mass]]/Mass_Data[[#This Row],[Total (1)]]))),"")</f>
        <v>16.407303370786519</v>
      </c>
      <c r="AI194" s="22" t="str">
        <f>IFERROR(IF(Mass_Data[[#This Row],[Check (1)]]="YES",Mass_Data[[#This Row],[MDL axle group 7 mass]],Mass_Data[[#This Row],[MDL axle group 7 mass]]-(Mass_Data[[#This Row],[Difference between MDL and GCM]]*(Mass_Data[[#This Row],[MDL axle group 7 mass]]/Mass_Data[[#This Row],[Total (1)]]))),"")</f>
        <v/>
      </c>
      <c r="AJ194" s="81">
        <f>SUM(Mass_Data[[#This Row],[Corrected axle group 1 mass]:[Corrected axle group 7 mass]])</f>
        <v>88.500000000000014</v>
      </c>
      <c r="AK194">
        <f>Mass_Data[[#This Row],[Total (2)]]-Mass_Data[[#This Row],[GCM (t)]]</f>
        <v>0</v>
      </c>
      <c r="AL194" s="22" t="str">
        <f>IF(Mass_Data[[#This Row],[Difference between MDL and corrected axle masses]]=0,"YES","NO")</f>
        <v>YES</v>
      </c>
    </row>
    <row r="195" spans="3:38" x14ac:dyDescent="0.35">
      <c r="C195" s="10" t="str">
        <f t="shared" si="2"/>
        <v>Conventional - 11-Axle Rigid Truck and 2 Dog Trailers (CML)</v>
      </c>
      <c r="D195" s="10" t="s">
        <v>164</v>
      </c>
      <c r="E195" s="10" t="s">
        <v>220</v>
      </c>
      <c r="F195" s="12" t="s">
        <v>20</v>
      </c>
      <c r="G195" s="11" t="s">
        <v>202</v>
      </c>
      <c r="H195" t="s">
        <v>140</v>
      </c>
      <c r="I195" s="9">
        <v>90.5</v>
      </c>
      <c r="J195" s="14">
        <v>65.005092307692308</v>
      </c>
      <c r="K195" s="14">
        <f>Mass_Data[[#This Row],[GCM (t)]]-Mass_Data[[#This Row],[Payload (t)]]</f>
        <v>25.494907692307692</v>
      </c>
      <c r="L195" t="s">
        <v>8</v>
      </c>
      <c r="M195" t="s">
        <v>9</v>
      </c>
      <c r="N195" t="s">
        <v>30</v>
      </c>
      <c r="O195" t="s">
        <v>30</v>
      </c>
      <c r="P195" t="s">
        <v>30</v>
      </c>
      <c r="Q195" t="s">
        <v>30</v>
      </c>
      <c r="R195">
        <v>0</v>
      </c>
      <c r="S195" cm="1">
        <f t="array" ref="S195">_xlfn.XLOOKUP(Mass_Data[[#This Row],[axle group 1]]&amp;Mass_Data[[#This Row],[Mass Scheme]],Axle_Data[Axle Code]&amp;Axle_Data[Mass Scheme],Axle_Data[MDL Maximum Mass (t)],"",0)</f>
        <v>6.5</v>
      </c>
      <c r="T195" cm="1">
        <f t="array" ref="T195">_xlfn.XLOOKUP(Mass_Data[[#This Row],[axle group 2]]&amp;Mass_Data[[#This Row],[Mass Scheme]],Axle_Data[Axle Code]&amp;Axle_Data[Mass Scheme],Axle_Data[MDL Maximum Mass (t)],"",0)</f>
        <v>17</v>
      </c>
      <c r="U195" cm="1">
        <f t="array" ref="U195">_xlfn.XLOOKUP(Mass_Data[[#This Row],[axle group 3]]&amp;Mass_Data[[#This Row],[Mass Scheme]],Axle_Data[Axle Code]&amp;Axle_Data[Mass Scheme],Axle_Data[MDL Maximum Mass (t)],"",0)</f>
        <v>17</v>
      </c>
      <c r="V195" cm="1">
        <f t="array" ref="V195">_xlfn.XLOOKUP(Mass_Data[[#This Row],[axle group 4]]&amp;Mass_Data[[#This Row],[Mass Scheme]],Axle_Data[Axle Code]&amp;Axle_Data[Mass Scheme],Axle_Data[MDL Maximum Mass (t)],"",0)</f>
        <v>17</v>
      </c>
      <c r="W195" cm="1">
        <f t="array" ref="W195">_xlfn.XLOOKUP(Mass_Data[[#This Row],[axle group 5]]&amp;Mass_Data[[#This Row],[Mass Scheme]],Axle_Data[Axle Code]&amp;Axle_Data[Mass Scheme],Axle_Data[MDL Maximum Mass (t)],"",0)</f>
        <v>17</v>
      </c>
      <c r="X195" cm="1">
        <f t="array" ref="X195">_xlfn.XLOOKUP(Mass_Data[[#This Row],[axle group 6]]&amp;Mass_Data[[#This Row],[Mass Scheme]],Axle_Data[Axle Code]&amp;Axle_Data[Mass Scheme],Axle_Data[MDL Maximum Mass (t)],"",0)</f>
        <v>17</v>
      </c>
      <c r="Y195" t="str" cm="1">
        <f t="array" ref="Y195">_xlfn.XLOOKUP(Mass_Data[[#This Row],[axle group 7]]&amp;Mass_Data[[#This Row],[Mass Scheme]],Axle_Data[Axle Code]&amp;Axle_Data[Mass Scheme],Axle_Data[MDL Maximum Mass (t)],"",0)</f>
        <v/>
      </c>
      <c r="Z195" s="81">
        <f>SUM(Mass_Data[[#This Row],[MDL axle group 1 mass]:[MDL axle group 7 mass]])</f>
        <v>91.5</v>
      </c>
      <c r="AA195">
        <f>Mass_Data[[#This Row],[Total (1)]]-Mass_Data[[#This Row],[GCM (t)]]</f>
        <v>1</v>
      </c>
      <c r="AB195" t="str">
        <f>IF(Mass_Data[[#This Row],[Difference between MDL and GCM]]=0,"YES","NO")</f>
        <v>NO</v>
      </c>
      <c r="AC195" s="22">
        <f>IFERROR(IF(Mass_Data[[#This Row],[Check (1)]]="YES",Mass_Data[[#This Row],[MDL axle group 1 mass]],Mass_Data[[#This Row],[MDL axle group 1 mass]]-(Mass_Data[[#This Row],[Difference between MDL and GCM]]*(Mass_Data[[#This Row],[MDL axle group 1 mass]]/Mass_Data[[#This Row],[Total (1)]]))),"")</f>
        <v>6.4289617486338795</v>
      </c>
      <c r="AD195" s="22">
        <f>IFERROR(IF(Mass_Data[[#This Row],[Check (1)]]="YES",Mass_Data[[#This Row],[MDL axle group 2 mass]],Mass_Data[[#This Row],[MDL axle group 2 mass]]-(Mass_Data[[#This Row],[Difference between MDL and GCM]]*(Mass_Data[[#This Row],[MDL axle group 2 mass]]/Mass_Data[[#This Row],[Total (1)]]))),"")</f>
        <v>16.814207650273225</v>
      </c>
      <c r="AE195" s="22">
        <f>IFERROR(IF(Mass_Data[[#This Row],[Check (1)]]="YES",Mass_Data[[#This Row],[MDL axle group 3 mass]],Mass_Data[[#This Row],[MDL axle group 3 mass]]-(Mass_Data[[#This Row],[Difference between MDL and GCM]]*(Mass_Data[[#This Row],[MDL axle group 3 mass]]/Mass_Data[[#This Row],[Total (1)]]))),"")</f>
        <v>16.814207650273225</v>
      </c>
      <c r="AF195" s="22">
        <f>IFERROR(IF(Mass_Data[[#This Row],[Check (1)]]="YES",Mass_Data[[#This Row],[MDL axle group 4 mass]],Mass_Data[[#This Row],[MDL axle group 4 mass]]-(Mass_Data[[#This Row],[Difference between MDL and GCM]]*(Mass_Data[[#This Row],[MDL axle group 4 mass]]/Mass_Data[[#This Row],[Total (1)]]))),"")</f>
        <v>16.814207650273225</v>
      </c>
      <c r="AG195" s="22">
        <f>IFERROR(IF(Mass_Data[[#This Row],[Check (1)]]="YES",Mass_Data[[#This Row],[MDL axle group 5 mass]],Mass_Data[[#This Row],[MDL axle group 5 mass]]-(Mass_Data[[#This Row],[Difference between MDL and GCM]]*(Mass_Data[[#This Row],[MDL axle group 5 mass]]/Mass_Data[[#This Row],[Total (1)]]))),"")</f>
        <v>16.814207650273225</v>
      </c>
      <c r="AH195" s="22">
        <f>IFERROR(IF(Mass_Data[[#This Row],[Check (1)]]="YES",Mass_Data[[#This Row],[MDL axle group 6 mass]],Mass_Data[[#This Row],[MDL axle group 6 mass]]-(Mass_Data[[#This Row],[Difference between MDL and GCM]]*(Mass_Data[[#This Row],[MDL axle group 6 mass]]/Mass_Data[[#This Row],[Total (1)]]))),"")</f>
        <v>16.814207650273225</v>
      </c>
      <c r="AI195" s="22" t="str">
        <f>IFERROR(IF(Mass_Data[[#This Row],[Check (1)]]="YES",Mass_Data[[#This Row],[MDL axle group 7 mass]],Mass_Data[[#This Row],[MDL axle group 7 mass]]-(Mass_Data[[#This Row],[Difference between MDL and GCM]]*(Mass_Data[[#This Row],[MDL axle group 7 mass]]/Mass_Data[[#This Row],[Total (1)]]))),"")</f>
        <v/>
      </c>
      <c r="AJ195" s="81">
        <f>SUM(Mass_Data[[#This Row],[Corrected axle group 1 mass]:[Corrected axle group 7 mass]])</f>
        <v>90.5</v>
      </c>
      <c r="AK195">
        <f>Mass_Data[[#This Row],[Total (2)]]-Mass_Data[[#This Row],[GCM (t)]]</f>
        <v>0</v>
      </c>
      <c r="AL195" s="22" t="str">
        <f>IF(Mass_Data[[#This Row],[Difference between MDL and corrected axle masses]]=0,"YES","NO")</f>
        <v>YES</v>
      </c>
    </row>
    <row r="196" spans="3:38" x14ac:dyDescent="0.35">
      <c r="C196" s="10" t="str">
        <f t="shared" ref="C196:C226" si="3">IF(G196="n/a",CONCATENATE(E196," - ", D196," (",F196,")"),CONCATENATE(E196," - ", D196," (",F196,")",": ",G196))</f>
        <v>Conventional - 11-Axle Rigid Truck and 2 Dog Trailers (HML)</v>
      </c>
      <c r="D196" s="10" t="s">
        <v>164</v>
      </c>
      <c r="E196" s="10" t="s">
        <v>220</v>
      </c>
      <c r="F196" s="12" t="s">
        <v>7</v>
      </c>
      <c r="G196" s="11" t="s">
        <v>202</v>
      </c>
      <c r="H196" t="s">
        <v>140</v>
      </c>
      <c r="I196" s="9">
        <v>91</v>
      </c>
      <c r="J196" s="14">
        <v>65.505092307692308</v>
      </c>
      <c r="K196" s="14">
        <f>Mass_Data[[#This Row],[GCM (t)]]-Mass_Data[[#This Row],[Payload (t)]]</f>
        <v>25.494907692307692</v>
      </c>
      <c r="L196" t="s">
        <v>8</v>
      </c>
      <c r="M196" t="s">
        <v>9</v>
      </c>
      <c r="N196" t="s">
        <v>30</v>
      </c>
      <c r="O196" t="s">
        <v>30</v>
      </c>
      <c r="P196" t="s">
        <v>30</v>
      </c>
      <c r="Q196" t="s">
        <v>30</v>
      </c>
      <c r="R196">
        <v>0</v>
      </c>
      <c r="S196" cm="1">
        <f t="array" ref="S196">_xlfn.XLOOKUP(Mass_Data[[#This Row],[axle group 1]]&amp;Mass_Data[[#This Row],[Mass Scheme]],Axle_Data[Axle Code]&amp;Axle_Data[Mass Scheme],Axle_Data[MDL Maximum Mass (t)],"",0)</f>
        <v>6.5</v>
      </c>
      <c r="T196" cm="1">
        <f t="array" ref="T196">_xlfn.XLOOKUP(Mass_Data[[#This Row],[axle group 2]]&amp;Mass_Data[[#This Row],[Mass Scheme]],Axle_Data[Axle Code]&amp;Axle_Data[Mass Scheme],Axle_Data[MDL Maximum Mass (t)],"",0)</f>
        <v>17</v>
      </c>
      <c r="U196" cm="1">
        <f t="array" ref="U196">_xlfn.XLOOKUP(Mass_Data[[#This Row],[axle group 3]]&amp;Mass_Data[[#This Row],[Mass Scheme]],Axle_Data[Axle Code]&amp;Axle_Data[Mass Scheme],Axle_Data[MDL Maximum Mass (t)],"",0)</f>
        <v>17</v>
      </c>
      <c r="V196" cm="1">
        <f t="array" ref="V196">_xlfn.XLOOKUP(Mass_Data[[#This Row],[axle group 4]]&amp;Mass_Data[[#This Row],[Mass Scheme]],Axle_Data[Axle Code]&amp;Axle_Data[Mass Scheme],Axle_Data[MDL Maximum Mass (t)],"",0)</f>
        <v>17</v>
      </c>
      <c r="W196" cm="1">
        <f t="array" ref="W196">_xlfn.XLOOKUP(Mass_Data[[#This Row],[axle group 5]]&amp;Mass_Data[[#This Row],[Mass Scheme]],Axle_Data[Axle Code]&amp;Axle_Data[Mass Scheme],Axle_Data[MDL Maximum Mass (t)],"",0)</f>
        <v>17</v>
      </c>
      <c r="X196" cm="1">
        <f t="array" ref="X196">_xlfn.XLOOKUP(Mass_Data[[#This Row],[axle group 6]]&amp;Mass_Data[[#This Row],[Mass Scheme]],Axle_Data[Axle Code]&amp;Axle_Data[Mass Scheme],Axle_Data[MDL Maximum Mass (t)],"",0)</f>
        <v>17</v>
      </c>
      <c r="Y196" t="str" cm="1">
        <f t="array" ref="Y196">_xlfn.XLOOKUP(Mass_Data[[#This Row],[axle group 7]]&amp;Mass_Data[[#This Row],[Mass Scheme]],Axle_Data[Axle Code]&amp;Axle_Data[Mass Scheme],Axle_Data[MDL Maximum Mass (t)],"",0)</f>
        <v/>
      </c>
      <c r="Z196" s="81">
        <f>SUM(Mass_Data[[#This Row],[MDL axle group 1 mass]:[MDL axle group 7 mass]])</f>
        <v>91.5</v>
      </c>
      <c r="AA196">
        <f>Mass_Data[[#This Row],[Total (1)]]-Mass_Data[[#This Row],[GCM (t)]]</f>
        <v>0.5</v>
      </c>
      <c r="AB196" t="str">
        <f>IF(Mass_Data[[#This Row],[Difference between MDL and GCM]]=0,"YES","NO")</f>
        <v>NO</v>
      </c>
      <c r="AC196" s="22">
        <f>IFERROR(IF(Mass_Data[[#This Row],[Check (1)]]="YES",Mass_Data[[#This Row],[MDL axle group 1 mass]],Mass_Data[[#This Row],[MDL axle group 1 mass]]-(Mass_Data[[#This Row],[Difference between MDL and GCM]]*(Mass_Data[[#This Row],[MDL axle group 1 mass]]/Mass_Data[[#This Row],[Total (1)]]))),"")</f>
        <v>6.4644808743169397</v>
      </c>
      <c r="AD196" s="22">
        <f>IFERROR(IF(Mass_Data[[#This Row],[Check (1)]]="YES",Mass_Data[[#This Row],[MDL axle group 2 mass]],Mass_Data[[#This Row],[MDL axle group 2 mass]]-(Mass_Data[[#This Row],[Difference between MDL and GCM]]*(Mass_Data[[#This Row],[MDL axle group 2 mass]]/Mass_Data[[#This Row],[Total (1)]]))),"")</f>
        <v>16.907103825136613</v>
      </c>
      <c r="AE196" s="22">
        <f>IFERROR(IF(Mass_Data[[#This Row],[Check (1)]]="YES",Mass_Data[[#This Row],[MDL axle group 3 mass]],Mass_Data[[#This Row],[MDL axle group 3 mass]]-(Mass_Data[[#This Row],[Difference between MDL and GCM]]*(Mass_Data[[#This Row],[MDL axle group 3 mass]]/Mass_Data[[#This Row],[Total (1)]]))),"")</f>
        <v>16.907103825136613</v>
      </c>
      <c r="AF196" s="22">
        <f>IFERROR(IF(Mass_Data[[#This Row],[Check (1)]]="YES",Mass_Data[[#This Row],[MDL axle group 4 mass]],Mass_Data[[#This Row],[MDL axle group 4 mass]]-(Mass_Data[[#This Row],[Difference between MDL and GCM]]*(Mass_Data[[#This Row],[MDL axle group 4 mass]]/Mass_Data[[#This Row],[Total (1)]]))),"")</f>
        <v>16.907103825136613</v>
      </c>
      <c r="AG196" s="22">
        <f>IFERROR(IF(Mass_Data[[#This Row],[Check (1)]]="YES",Mass_Data[[#This Row],[MDL axle group 5 mass]],Mass_Data[[#This Row],[MDL axle group 5 mass]]-(Mass_Data[[#This Row],[Difference between MDL and GCM]]*(Mass_Data[[#This Row],[MDL axle group 5 mass]]/Mass_Data[[#This Row],[Total (1)]]))),"")</f>
        <v>16.907103825136613</v>
      </c>
      <c r="AH196" s="22">
        <f>IFERROR(IF(Mass_Data[[#This Row],[Check (1)]]="YES",Mass_Data[[#This Row],[MDL axle group 6 mass]],Mass_Data[[#This Row],[MDL axle group 6 mass]]-(Mass_Data[[#This Row],[Difference between MDL and GCM]]*(Mass_Data[[#This Row],[MDL axle group 6 mass]]/Mass_Data[[#This Row],[Total (1)]]))),"")</f>
        <v>16.907103825136613</v>
      </c>
      <c r="AI196" s="22" t="str">
        <f>IFERROR(IF(Mass_Data[[#This Row],[Check (1)]]="YES",Mass_Data[[#This Row],[MDL axle group 7 mass]],Mass_Data[[#This Row],[MDL axle group 7 mass]]-(Mass_Data[[#This Row],[Difference between MDL and GCM]]*(Mass_Data[[#This Row],[MDL axle group 7 mass]]/Mass_Data[[#This Row],[Total (1)]]))),"")</f>
        <v/>
      </c>
      <c r="AJ196" s="81">
        <f>SUM(Mass_Data[[#This Row],[Corrected axle group 1 mass]:[Corrected axle group 7 mass]])</f>
        <v>91.000000000000014</v>
      </c>
      <c r="AK196">
        <f>Mass_Data[[#This Row],[Total (2)]]-Mass_Data[[#This Row],[GCM (t)]]</f>
        <v>0</v>
      </c>
      <c r="AL196" s="22" t="str">
        <f>IF(Mass_Data[[#This Row],[Difference between MDL and corrected axle masses]]=0,"YES","NO")</f>
        <v>YES</v>
      </c>
    </row>
    <row r="197" spans="3:38" x14ac:dyDescent="0.35">
      <c r="C197" s="10" t="str">
        <f t="shared" si="3"/>
        <v>Conventional - 16-Axle A-Triple (GML)</v>
      </c>
      <c r="D197" s="10" t="s">
        <v>162</v>
      </c>
      <c r="E197" s="10" t="s">
        <v>220</v>
      </c>
      <c r="F197" s="12" t="s">
        <v>18</v>
      </c>
      <c r="G197" s="11" t="s">
        <v>202</v>
      </c>
      <c r="H197" t="s">
        <v>72</v>
      </c>
      <c r="I197" s="9">
        <v>115.5</v>
      </c>
      <c r="J197" s="14">
        <v>75.434730280154213</v>
      </c>
      <c r="K197" s="14">
        <f>Mass_Data[[#This Row],[GCM (t)]]-Mass_Data[[#This Row],[Payload (t)]]</f>
        <v>40.065269719845787</v>
      </c>
      <c r="L197" t="s">
        <v>8</v>
      </c>
      <c r="M197" t="s">
        <v>9</v>
      </c>
      <c r="N197" t="s">
        <v>10</v>
      </c>
      <c r="O197" t="s">
        <v>30</v>
      </c>
      <c r="P197" t="s">
        <v>10</v>
      </c>
      <c r="Q197" t="s">
        <v>30</v>
      </c>
      <c r="R197" t="s">
        <v>10</v>
      </c>
      <c r="S197" cm="1">
        <f t="array" ref="S197">_xlfn.XLOOKUP(Mass_Data[[#This Row],[axle group 1]]&amp;Mass_Data[[#This Row],[Mass Scheme]],Axle_Data[Axle Code]&amp;Axle_Data[Mass Scheme],Axle_Data[MDL Maximum Mass (t)],"",0)</f>
        <v>6.5</v>
      </c>
      <c r="T197" cm="1">
        <f t="array" ref="T197">_xlfn.XLOOKUP(Mass_Data[[#This Row],[axle group 2]]&amp;Mass_Data[[#This Row],[Mass Scheme]],Axle_Data[Axle Code]&amp;Axle_Data[Mass Scheme],Axle_Data[MDL Maximum Mass (t)],"",0)</f>
        <v>16.5</v>
      </c>
      <c r="U197" cm="1">
        <f t="array" ref="U197">_xlfn.XLOOKUP(Mass_Data[[#This Row],[axle group 3]]&amp;Mass_Data[[#This Row],[Mass Scheme]],Axle_Data[Axle Code]&amp;Axle_Data[Mass Scheme],Axle_Data[MDL Maximum Mass (t)],"",0)</f>
        <v>20</v>
      </c>
      <c r="V197" cm="1">
        <f t="array" ref="V197">_xlfn.XLOOKUP(Mass_Data[[#This Row],[axle group 4]]&amp;Mass_Data[[#This Row],[Mass Scheme]],Axle_Data[Axle Code]&amp;Axle_Data[Mass Scheme],Axle_Data[MDL Maximum Mass (t)],"",0)</f>
        <v>16.5</v>
      </c>
      <c r="W197" cm="1">
        <f t="array" ref="W197">_xlfn.XLOOKUP(Mass_Data[[#This Row],[axle group 5]]&amp;Mass_Data[[#This Row],[Mass Scheme]],Axle_Data[Axle Code]&amp;Axle_Data[Mass Scheme],Axle_Data[MDL Maximum Mass (t)],"",0)</f>
        <v>20</v>
      </c>
      <c r="X197" cm="1">
        <f t="array" ref="X197">_xlfn.XLOOKUP(Mass_Data[[#This Row],[axle group 6]]&amp;Mass_Data[[#This Row],[Mass Scheme]],Axle_Data[Axle Code]&amp;Axle_Data[Mass Scheme],Axle_Data[MDL Maximum Mass (t)],"",0)</f>
        <v>16.5</v>
      </c>
      <c r="Y197" cm="1">
        <f t="array" ref="Y197">_xlfn.XLOOKUP(Mass_Data[[#This Row],[axle group 7]]&amp;Mass_Data[[#This Row],[Mass Scheme]],Axle_Data[Axle Code]&amp;Axle_Data[Mass Scheme],Axle_Data[MDL Maximum Mass (t)],"",0)</f>
        <v>20</v>
      </c>
      <c r="Z197" s="81">
        <f>SUM(Mass_Data[[#This Row],[MDL axle group 1 mass]:[MDL axle group 7 mass]])</f>
        <v>116</v>
      </c>
      <c r="AA197">
        <f>Mass_Data[[#This Row],[Total (1)]]-Mass_Data[[#This Row],[GCM (t)]]</f>
        <v>0.5</v>
      </c>
      <c r="AB197" t="str">
        <f>IF(Mass_Data[[#This Row],[Difference between MDL and GCM]]=0,"YES","NO")</f>
        <v>NO</v>
      </c>
      <c r="AC197" s="22">
        <f>IFERROR(IF(Mass_Data[[#This Row],[Check (1)]]="YES",Mass_Data[[#This Row],[MDL axle group 1 mass]],Mass_Data[[#This Row],[MDL axle group 1 mass]]-(Mass_Data[[#This Row],[Difference between MDL and GCM]]*(Mass_Data[[#This Row],[MDL axle group 1 mass]]/Mass_Data[[#This Row],[Total (1)]]))),"")</f>
        <v>6.4719827586206895</v>
      </c>
      <c r="AD197" s="22">
        <f>IFERROR(IF(Mass_Data[[#This Row],[Check (1)]]="YES",Mass_Data[[#This Row],[MDL axle group 2 mass]],Mass_Data[[#This Row],[MDL axle group 2 mass]]-(Mass_Data[[#This Row],[Difference between MDL and GCM]]*(Mass_Data[[#This Row],[MDL axle group 2 mass]]/Mass_Data[[#This Row],[Total (1)]]))),"")</f>
        <v>16.428879310344829</v>
      </c>
      <c r="AE197" s="22">
        <f>IFERROR(IF(Mass_Data[[#This Row],[Check (1)]]="YES",Mass_Data[[#This Row],[MDL axle group 3 mass]],Mass_Data[[#This Row],[MDL axle group 3 mass]]-(Mass_Data[[#This Row],[Difference between MDL and GCM]]*(Mass_Data[[#This Row],[MDL axle group 3 mass]]/Mass_Data[[#This Row],[Total (1)]]))),"")</f>
        <v>19.913793103448278</v>
      </c>
      <c r="AF197" s="22">
        <f>IFERROR(IF(Mass_Data[[#This Row],[Check (1)]]="YES",Mass_Data[[#This Row],[MDL axle group 4 mass]],Mass_Data[[#This Row],[MDL axle group 4 mass]]-(Mass_Data[[#This Row],[Difference between MDL and GCM]]*(Mass_Data[[#This Row],[MDL axle group 4 mass]]/Mass_Data[[#This Row],[Total (1)]]))),"")</f>
        <v>16.428879310344829</v>
      </c>
      <c r="AG197" s="22">
        <f>IFERROR(IF(Mass_Data[[#This Row],[Check (1)]]="YES",Mass_Data[[#This Row],[MDL axle group 5 mass]],Mass_Data[[#This Row],[MDL axle group 5 mass]]-(Mass_Data[[#This Row],[Difference between MDL and GCM]]*(Mass_Data[[#This Row],[MDL axle group 5 mass]]/Mass_Data[[#This Row],[Total (1)]]))),"")</f>
        <v>19.913793103448278</v>
      </c>
      <c r="AH197" s="22">
        <f>IFERROR(IF(Mass_Data[[#This Row],[Check (1)]]="YES",Mass_Data[[#This Row],[MDL axle group 6 mass]],Mass_Data[[#This Row],[MDL axle group 6 mass]]-(Mass_Data[[#This Row],[Difference between MDL and GCM]]*(Mass_Data[[#This Row],[MDL axle group 6 mass]]/Mass_Data[[#This Row],[Total (1)]]))),"")</f>
        <v>16.428879310344829</v>
      </c>
      <c r="AI197" s="22">
        <f>IFERROR(IF(Mass_Data[[#This Row],[Check (1)]]="YES",Mass_Data[[#This Row],[MDL axle group 7 mass]],Mass_Data[[#This Row],[MDL axle group 7 mass]]-(Mass_Data[[#This Row],[Difference between MDL and GCM]]*(Mass_Data[[#This Row],[MDL axle group 7 mass]]/Mass_Data[[#This Row],[Total (1)]]))),"")</f>
        <v>19.913793103448278</v>
      </c>
      <c r="AJ197" s="81">
        <f>SUM(Mass_Data[[#This Row],[Corrected axle group 1 mass]:[Corrected axle group 7 mass]])</f>
        <v>115.5</v>
      </c>
      <c r="AK197">
        <f>Mass_Data[[#This Row],[Total (2)]]-Mass_Data[[#This Row],[GCM (t)]]</f>
        <v>0</v>
      </c>
      <c r="AL197" s="22" t="str">
        <f>IF(Mass_Data[[#This Row],[Difference between MDL and corrected axle masses]]=0,"YES","NO")</f>
        <v>YES</v>
      </c>
    </row>
    <row r="198" spans="3:38" x14ac:dyDescent="0.35">
      <c r="C198" s="10" t="str">
        <f t="shared" si="3"/>
        <v>Conventional - 16-Axle A-Triple (CML)</v>
      </c>
      <c r="D198" s="10" t="s">
        <v>162</v>
      </c>
      <c r="E198" s="10" t="s">
        <v>220</v>
      </c>
      <c r="F198" s="12" t="s">
        <v>20</v>
      </c>
      <c r="G198" s="11" t="s">
        <v>202</v>
      </c>
      <c r="H198" t="s">
        <v>72</v>
      </c>
      <c r="I198" s="9">
        <v>117.5</v>
      </c>
      <c r="J198" s="14">
        <v>77.434730280154213</v>
      </c>
      <c r="K198" s="14">
        <f>Mass_Data[[#This Row],[GCM (t)]]-Mass_Data[[#This Row],[Payload (t)]]</f>
        <v>40.065269719845787</v>
      </c>
      <c r="L198" t="s">
        <v>8</v>
      </c>
      <c r="M198" t="s">
        <v>9</v>
      </c>
      <c r="N198" t="s">
        <v>10</v>
      </c>
      <c r="O198" t="s">
        <v>30</v>
      </c>
      <c r="P198" t="s">
        <v>10</v>
      </c>
      <c r="Q198" t="s">
        <v>30</v>
      </c>
      <c r="R198" t="s">
        <v>10</v>
      </c>
      <c r="S198" cm="1">
        <f t="array" ref="S198">_xlfn.XLOOKUP(Mass_Data[[#This Row],[axle group 1]]&amp;Mass_Data[[#This Row],[Mass Scheme]],Axle_Data[Axle Code]&amp;Axle_Data[Mass Scheme],Axle_Data[MDL Maximum Mass (t)],"",0)</f>
        <v>6.5</v>
      </c>
      <c r="T198" cm="1">
        <f t="array" ref="T198">_xlfn.XLOOKUP(Mass_Data[[#This Row],[axle group 2]]&amp;Mass_Data[[#This Row],[Mass Scheme]],Axle_Data[Axle Code]&amp;Axle_Data[Mass Scheme],Axle_Data[MDL Maximum Mass (t)],"",0)</f>
        <v>17</v>
      </c>
      <c r="U198" cm="1">
        <f t="array" ref="U198">_xlfn.XLOOKUP(Mass_Data[[#This Row],[axle group 3]]&amp;Mass_Data[[#This Row],[Mass Scheme]],Axle_Data[Axle Code]&amp;Axle_Data[Mass Scheme],Axle_Data[MDL Maximum Mass (t)],"",0)</f>
        <v>21</v>
      </c>
      <c r="V198" cm="1">
        <f t="array" ref="V198">_xlfn.XLOOKUP(Mass_Data[[#This Row],[axle group 4]]&amp;Mass_Data[[#This Row],[Mass Scheme]],Axle_Data[Axle Code]&amp;Axle_Data[Mass Scheme],Axle_Data[MDL Maximum Mass (t)],"",0)</f>
        <v>17</v>
      </c>
      <c r="W198" cm="1">
        <f t="array" ref="W198">_xlfn.XLOOKUP(Mass_Data[[#This Row],[axle group 5]]&amp;Mass_Data[[#This Row],[Mass Scheme]],Axle_Data[Axle Code]&amp;Axle_Data[Mass Scheme],Axle_Data[MDL Maximum Mass (t)],"",0)</f>
        <v>21</v>
      </c>
      <c r="X198" cm="1">
        <f t="array" ref="X198">_xlfn.XLOOKUP(Mass_Data[[#This Row],[axle group 6]]&amp;Mass_Data[[#This Row],[Mass Scheme]],Axle_Data[Axle Code]&amp;Axle_Data[Mass Scheme],Axle_Data[MDL Maximum Mass (t)],"",0)</f>
        <v>17</v>
      </c>
      <c r="Y198" cm="1">
        <f t="array" ref="Y198">_xlfn.XLOOKUP(Mass_Data[[#This Row],[axle group 7]]&amp;Mass_Data[[#This Row],[Mass Scheme]],Axle_Data[Axle Code]&amp;Axle_Data[Mass Scheme],Axle_Data[MDL Maximum Mass (t)],"",0)</f>
        <v>21</v>
      </c>
      <c r="Z198" s="81">
        <f>SUM(Mass_Data[[#This Row],[MDL axle group 1 mass]:[MDL axle group 7 mass]])</f>
        <v>120.5</v>
      </c>
      <c r="AA198">
        <f>Mass_Data[[#This Row],[Total (1)]]-Mass_Data[[#This Row],[GCM (t)]]</f>
        <v>3</v>
      </c>
      <c r="AB198" t="str">
        <f>IF(Mass_Data[[#This Row],[Difference between MDL and GCM]]=0,"YES","NO")</f>
        <v>NO</v>
      </c>
      <c r="AC198" s="22">
        <f>IFERROR(IF(Mass_Data[[#This Row],[Check (1)]]="YES",Mass_Data[[#This Row],[MDL axle group 1 mass]],Mass_Data[[#This Row],[MDL axle group 1 mass]]-(Mass_Data[[#This Row],[Difference between MDL and GCM]]*(Mass_Data[[#This Row],[MDL axle group 1 mass]]/Mass_Data[[#This Row],[Total (1)]]))),"")</f>
        <v>6.3381742738589208</v>
      </c>
      <c r="AD198" s="22">
        <f>IFERROR(IF(Mass_Data[[#This Row],[Check (1)]]="YES",Mass_Data[[#This Row],[MDL axle group 2 mass]],Mass_Data[[#This Row],[MDL axle group 2 mass]]-(Mass_Data[[#This Row],[Difference between MDL and GCM]]*(Mass_Data[[#This Row],[MDL axle group 2 mass]]/Mass_Data[[#This Row],[Total (1)]]))),"")</f>
        <v>16.57676348547718</v>
      </c>
      <c r="AE198" s="22">
        <f>IFERROR(IF(Mass_Data[[#This Row],[Check (1)]]="YES",Mass_Data[[#This Row],[MDL axle group 3 mass]],Mass_Data[[#This Row],[MDL axle group 3 mass]]-(Mass_Data[[#This Row],[Difference between MDL and GCM]]*(Mass_Data[[#This Row],[MDL axle group 3 mass]]/Mass_Data[[#This Row],[Total (1)]]))),"")</f>
        <v>20.477178423236516</v>
      </c>
      <c r="AF198" s="22">
        <f>IFERROR(IF(Mass_Data[[#This Row],[Check (1)]]="YES",Mass_Data[[#This Row],[MDL axle group 4 mass]],Mass_Data[[#This Row],[MDL axle group 4 mass]]-(Mass_Data[[#This Row],[Difference between MDL and GCM]]*(Mass_Data[[#This Row],[MDL axle group 4 mass]]/Mass_Data[[#This Row],[Total (1)]]))),"")</f>
        <v>16.57676348547718</v>
      </c>
      <c r="AG198" s="22">
        <f>IFERROR(IF(Mass_Data[[#This Row],[Check (1)]]="YES",Mass_Data[[#This Row],[MDL axle group 5 mass]],Mass_Data[[#This Row],[MDL axle group 5 mass]]-(Mass_Data[[#This Row],[Difference between MDL and GCM]]*(Mass_Data[[#This Row],[MDL axle group 5 mass]]/Mass_Data[[#This Row],[Total (1)]]))),"")</f>
        <v>20.477178423236516</v>
      </c>
      <c r="AH198" s="22">
        <f>IFERROR(IF(Mass_Data[[#This Row],[Check (1)]]="YES",Mass_Data[[#This Row],[MDL axle group 6 mass]],Mass_Data[[#This Row],[MDL axle group 6 mass]]-(Mass_Data[[#This Row],[Difference between MDL and GCM]]*(Mass_Data[[#This Row],[MDL axle group 6 mass]]/Mass_Data[[#This Row],[Total (1)]]))),"")</f>
        <v>16.57676348547718</v>
      </c>
      <c r="AI198" s="22">
        <f>IFERROR(IF(Mass_Data[[#This Row],[Check (1)]]="YES",Mass_Data[[#This Row],[MDL axle group 7 mass]],Mass_Data[[#This Row],[MDL axle group 7 mass]]-(Mass_Data[[#This Row],[Difference between MDL and GCM]]*(Mass_Data[[#This Row],[MDL axle group 7 mass]]/Mass_Data[[#This Row],[Total (1)]]))),"")</f>
        <v>20.477178423236516</v>
      </c>
      <c r="AJ198" s="81">
        <f>SUM(Mass_Data[[#This Row],[Corrected axle group 1 mass]:[Corrected axle group 7 mass]])</f>
        <v>117.50000000000003</v>
      </c>
      <c r="AK198">
        <f>Mass_Data[[#This Row],[Total (2)]]-Mass_Data[[#This Row],[GCM (t)]]</f>
        <v>0</v>
      </c>
      <c r="AL198" s="22" t="str">
        <f>IF(Mass_Data[[#This Row],[Difference between MDL and corrected axle masses]]=0,"YES","NO")</f>
        <v>YES</v>
      </c>
    </row>
    <row r="199" spans="3:38" x14ac:dyDescent="0.35">
      <c r="C199" s="10" t="str">
        <f t="shared" si="3"/>
        <v>Conventional - 16-Axle A-Triple (HML)</v>
      </c>
      <c r="D199" s="10" t="s">
        <v>162</v>
      </c>
      <c r="E199" s="10" t="s">
        <v>220</v>
      </c>
      <c r="F199" s="12" t="s">
        <v>7</v>
      </c>
      <c r="G199" s="11" t="s">
        <v>202</v>
      </c>
      <c r="H199" t="s">
        <v>72</v>
      </c>
      <c r="I199" s="9">
        <v>124.5</v>
      </c>
      <c r="J199" s="14">
        <v>84.434730280154213</v>
      </c>
      <c r="K199" s="14">
        <f>Mass_Data[[#This Row],[GCM (t)]]-Mass_Data[[#This Row],[Payload (t)]]</f>
        <v>40.065269719845787</v>
      </c>
      <c r="L199" t="s">
        <v>8</v>
      </c>
      <c r="M199" t="s">
        <v>9</v>
      </c>
      <c r="N199" t="s">
        <v>10</v>
      </c>
      <c r="O199" t="s">
        <v>30</v>
      </c>
      <c r="P199" t="s">
        <v>10</v>
      </c>
      <c r="Q199" t="s">
        <v>30</v>
      </c>
      <c r="R199" t="s">
        <v>10</v>
      </c>
      <c r="S199" cm="1">
        <f t="array" ref="S199">_xlfn.XLOOKUP(Mass_Data[[#This Row],[axle group 1]]&amp;Mass_Data[[#This Row],[Mass Scheme]],Axle_Data[Axle Code]&amp;Axle_Data[Mass Scheme],Axle_Data[MDL Maximum Mass (t)],"",0)</f>
        <v>6.5</v>
      </c>
      <c r="T199" cm="1">
        <f t="array" ref="T199">_xlfn.XLOOKUP(Mass_Data[[#This Row],[axle group 2]]&amp;Mass_Data[[#This Row],[Mass Scheme]],Axle_Data[Axle Code]&amp;Axle_Data[Mass Scheme],Axle_Data[MDL Maximum Mass (t)],"",0)</f>
        <v>17</v>
      </c>
      <c r="U199" cm="1">
        <f t="array" ref="U199">_xlfn.XLOOKUP(Mass_Data[[#This Row],[axle group 3]]&amp;Mass_Data[[#This Row],[Mass Scheme]],Axle_Data[Axle Code]&amp;Axle_Data[Mass Scheme],Axle_Data[MDL Maximum Mass (t)],"",0)</f>
        <v>22.5</v>
      </c>
      <c r="V199" cm="1">
        <f t="array" ref="V199">_xlfn.XLOOKUP(Mass_Data[[#This Row],[axle group 4]]&amp;Mass_Data[[#This Row],[Mass Scheme]],Axle_Data[Axle Code]&amp;Axle_Data[Mass Scheme],Axle_Data[MDL Maximum Mass (t)],"",0)</f>
        <v>17</v>
      </c>
      <c r="W199" cm="1">
        <f t="array" ref="W199">_xlfn.XLOOKUP(Mass_Data[[#This Row],[axle group 5]]&amp;Mass_Data[[#This Row],[Mass Scheme]],Axle_Data[Axle Code]&amp;Axle_Data[Mass Scheme],Axle_Data[MDL Maximum Mass (t)],"",0)</f>
        <v>22.5</v>
      </c>
      <c r="X199" cm="1">
        <f t="array" ref="X199">_xlfn.XLOOKUP(Mass_Data[[#This Row],[axle group 6]]&amp;Mass_Data[[#This Row],[Mass Scheme]],Axle_Data[Axle Code]&amp;Axle_Data[Mass Scheme],Axle_Data[MDL Maximum Mass (t)],"",0)</f>
        <v>17</v>
      </c>
      <c r="Y199" cm="1">
        <f t="array" ref="Y199">_xlfn.XLOOKUP(Mass_Data[[#This Row],[axle group 7]]&amp;Mass_Data[[#This Row],[Mass Scheme]],Axle_Data[Axle Code]&amp;Axle_Data[Mass Scheme],Axle_Data[MDL Maximum Mass (t)],"",0)</f>
        <v>22.5</v>
      </c>
      <c r="Z199" s="81">
        <f>SUM(Mass_Data[[#This Row],[MDL axle group 1 mass]:[MDL axle group 7 mass]])</f>
        <v>125</v>
      </c>
      <c r="AA199">
        <f>Mass_Data[[#This Row],[Total (1)]]-Mass_Data[[#This Row],[GCM (t)]]</f>
        <v>0.5</v>
      </c>
      <c r="AB199" t="str">
        <f>IF(Mass_Data[[#This Row],[Difference between MDL and GCM]]=0,"YES","NO")</f>
        <v>NO</v>
      </c>
      <c r="AC199" s="22">
        <f>IFERROR(IF(Mass_Data[[#This Row],[Check (1)]]="YES",Mass_Data[[#This Row],[MDL axle group 1 mass]],Mass_Data[[#This Row],[MDL axle group 1 mass]]-(Mass_Data[[#This Row],[Difference between MDL and GCM]]*(Mass_Data[[#This Row],[MDL axle group 1 mass]]/Mass_Data[[#This Row],[Total (1)]]))),"")</f>
        <v>6.4740000000000002</v>
      </c>
      <c r="AD199" s="22">
        <f>IFERROR(IF(Mass_Data[[#This Row],[Check (1)]]="YES",Mass_Data[[#This Row],[MDL axle group 2 mass]],Mass_Data[[#This Row],[MDL axle group 2 mass]]-(Mass_Data[[#This Row],[Difference between MDL and GCM]]*(Mass_Data[[#This Row],[MDL axle group 2 mass]]/Mass_Data[[#This Row],[Total (1)]]))),"")</f>
        <v>16.931999999999999</v>
      </c>
      <c r="AE199" s="22">
        <f>IFERROR(IF(Mass_Data[[#This Row],[Check (1)]]="YES",Mass_Data[[#This Row],[MDL axle group 3 mass]],Mass_Data[[#This Row],[MDL axle group 3 mass]]-(Mass_Data[[#This Row],[Difference between MDL and GCM]]*(Mass_Data[[#This Row],[MDL axle group 3 mass]]/Mass_Data[[#This Row],[Total (1)]]))),"")</f>
        <v>22.41</v>
      </c>
      <c r="AF199" s="22">
        <f>IFERROR(IF(Mass_Data[[#This Row],[Check (1)]]="YES",Mass_Data[[#This Row],[MDL axle group 4 mass]],Mass_Data[[#This Row],[MDL axle group 4 mass]]-(Mass_Data[[#This Row],[Difference between MDL and GCM]]*(Mass_Data[[#This Row],[MDL axle group 4 mass]]/Mass_Data[[#This Row],[Total (1)]]))),"")</f>
        <v>16.931999999999999</v>
      </c>
      <c r="AG199" s="22">
        <f>IFERROR(IF(Mass_Data[[#This Row],[Check (1)]]="YES",Mass_Data[[#This Row],[MDL axle group 5 mass]],Mass_Data[[#This Row],[MDL axle group 5 mass]]-(Mass_Data[[#This Row],[Difference between MDL and GCM]]*(Mass_Data[[#This Row],[MDL axle group 5 mass]]/Mass_Data[[#This Row],[Total (1)]]))),"")</f>
        <v>22.41</v>
      </c>
      <c r="AH199" s="22">
        <f>IFERROR(IF(Mass_Data[[#This Row],[Check (1)]]="YES",Mass_Data[[#This Row],[MDL axle group 6 mass]],Mass_Data[[#This Row],[MDL axle group 6 mass]]-(Mass_Data[[#This Row],[Difference between MDL and GCM]]*(Mass_Data[[#This Row],[MDL axle group 6 mass]]/Mass_Data[[#This Row],[Total (1)]]))),"")</f>
        <v>16.931999999999999</v>
      </c>
      <c r="AI199" s="22">
        <f>IFERROR(IF(Mass_Data[[#This Row],[Check (1)]]="YES",Mass_Data[[#This Row],[MDL axle group 7 mass]],Mass_Data[[#This Row],[MDL axle group 7 mass]]-(Mass_Data[[#This Row],[Difference between MDL and GCM]]*(Mass_Data[[#This Row],[MDL axle group 7 mass]]/Mass_Data[[#This Row],[Total (1)]]))),"")</f>
        <v>22.41</v>
      </c>
      <c r="AJ199" s="81">
        <f>SUM(Mass_Data[[#This Row],[Corrected axle group 1 mass]:[Corrected axle group 7 mass]])</f>
        <v>124.5</v>
      </c>
      <c r="AK199">
        <f>Mass_Data[[#This Row],[Total (2)]]-Mass_Data[[#This Row],[GCM (t)]]</f>
        <v>0</v>
      </c>
      <c r="AL199" s="22" t="str">
        <f>IF(Mass_Data[[#This Row],[Difference between MDL and corrected axle masses]]=0,"YES","NO")</f>
        <v>YES</v>
      </c>
    </row>
    <row r="200" spans="3:38" x14ac:dyDescent="0.35">
      <c r="C200" s="10" t="str">
        <f t="shared" si="3"/>
        <v>Conventional - 18-Axle A-Triple (GML)</v>
      </c>
      <c r="D200" s="10" t="s">
        <v>160</v>
      </c>
      <c r="E200" s="10" t="s">
        <v>220</v>
      </c>
      <c r="F200" s="12" t="s">
        <v>18</v>
      </c>
      <c r="G200" s="11" t="s">
        <v>202</v>
      </c>
      <c r="H200" t="s">
        <v>74</v>
      </c>
      <c r="I200" s="9">
        <v>122.5</v>
      </c>
      <c r="J200" s="14">
        <v>80.385056287480225</v>
      </c>
      <c r="K200" s="14">
        <f>Mass_Data[[#This Row],[GCM (t)]]-Mass_Data[[#This Row],[Payload (t)]]</f>
        <v>42.114943712519775</v>
      </c>
      <c r="L200" t="s">
        <v>8</v>
      </c>
      <c r="M200" t="s">
        <v>9</v>
      </c>
      <c r="N200" t="s">
        <v>10</v>
      </c>
      <c r="O200" t="s">
        <v>10</v>
      </c>
      <c r="P200" t="s">
        <v>10</v>
      </c>
      <c r="Q200" t="s">
        <v>10</v>
      </c>
      <c r="R200" t="s">
        <v>10</v>
      </c>
      <c r="S200" cm="1">
        <f t="array" ref="S200">_xlfn.XLOOKUP(Mass_Data[[#This Row],[axle group 1]]&amp;Mass_Data[[#This Row],[Mass Scheme]],Axle_Data[Axle Code]&amp;Axle_Data[Mass Scheme],Axle_Data[MDL Maximum Mass (t)],"",0)</f>
        <v>6.5</v>
      </c>
      <c r="T200" cm="1">
        <f t="array" ref="T200">_xlfn.XLOOKUP(Mass_Data[[#This Row],[axle group 2]]&amp;Mass_Data[[#This Row],[Mass Scheme]],Axle_Data[Axle Code]&amp;Axle_Data[Mass Scheme],Axle_Data[MDL Maximum Mass (t)],"",0)</f>
        <v>16.5</v>
      </c>
      <c r="U200" cm="1">
        <f t="array" ref="U200">_xlfn.XLOOKUP(Mass_Data[[#This Row],[axle group 3]]&amp;Mass_Data[[#This Row],[Mass Scheme]],Axle_Data[Axle Code]&amp;Axle_Data[Mass Scheme],Axle_Data[MDL Maximum Mass (t)],"",0)</f>
        <v>20</v>
      </c>
      <c r="V200" cm="1">
        <f t="array" ref="V200">_xlfn.XLOOKUP(Mass_Data[[#This Row],[axle group 4]]&amp;Mass_Data[[#This Row],[Mass Scheme]],Axle_Data[Axle Code]&amp;Axle_Data[Mass Scheme],Axle_Data[MDL Maximum Mass (t)],"",0)</f>
        <v>20</v>
      </c>
      <c r="W200" cm="1">
        <f t="array" ref="W200">_xlfn.XLOOKUP(Mass_Data[[#This Row],[axle group 5]]&amp;Mass_Data[[#This Row],[Mass Scheme]],Axle_Data[Axle Code]&amp;Axle_Data[Mass Scheme],Axle_Data[MDL Maximum Mass (t)],"",0)</f>
        <v>20</v>
      </c>
      <c r="X200" cm="1">
        <f t="array" ref="X200">_xlfn.XLOOKUP(Mass_Data[[#This Row],[axle group 6]]&amp;Mass_Data[[#This Row],[Mass Scheme]],Axle_Data[Axle Code]&amp;Axle_Data[Mass Scheme],Axle_Data[MDL Maximum Mass (t)],"",0)</f>
        <v>20</v>
      </c>
      <c r="Y200" cm="1">
        <f t="array" ref="Y200">_xlfn.XLOOKUP(Mass_Data[[#This Row],[axle group 7]]&amp;Mass_Data[[#This Row],[Mass Scheme]],Axle_Data[Axle Code]&amp;Axle_Data[Mass Scheme],Axle_Data[MDL Maximum Mass (t)],"",0)</f>
        <v>20</v>
      </c>
      <c r="Z200" s="81">
        <f>SUM(Mass_Data[[#This Row],[MDL axle group 1 mass]:[MDL axle group 7 mass]])</f>
        <v>123</v>
      </c>
      <c r="AA200">
        <f>Mass_Data[[#This Row],[Total (1)]]-Mass_Data[[#This Row],[GCM (t)]]</f>
        <v>0.5</v>
      </c>
      <c r="AB200" t="str">
        <f>IF(Mass_Data[[#This Row],[Difference between MDL and GCM]]=0,"YES","NO")</f>
        <v>NO</v>
      </c>
      <c r="AC200" s="22">
        <f>IFERROR(IF(Mass_Data[[#This Row],[Check (1)]]="YES",Mass_Data[[#This Row],[MDL axle group 1 mass]],Mass_Data[[#This Row],[MDL axle group 1 mass]]-(Mass_Data[[#This Row],[Difference between MDL and GCM]]*(Mass_Data[[#This Row],[MDL axle group 1 mass]]/Mass_Data[[#This Row],[Total (1)]]))),"")</f>
        <v>6.4735772357723578</v>
      </c>
      <c r="AD200" s="22">
        <f>IFERROR(IF(Mass_Data[[#This Row],[Check (1)]]="YES",Mass_Data[[#This Row],[MDL axle group 2 mass]],Mass_Data[[#This Row],[MDL axle group 2 mass]]-(Mass_Data[[#This Row],[Difference between MDL and GCM]]*(Mass_Data[[#This Row],[MDL axle group 2 mass]]/Mass_Data[[#This Row],[Total (1)]]))),"")</f>
        <v>16.432926829268293</v>
      </c>
      <c r="AE200" s="22">
        <f>IFERROR(IF(Mass_Data[[#This Row],[Check (1)]]="YES",Mass_Data[[#This Row],[MDL axle group 3 mass]],Mass_Data[[#This Row],[MDL axle group 3 mass]]-(Mass_Data[[#This Row],[Difference between MDL and GCM]]*(Mass_Data[[#This Row],[MDL axle group 3 mass]]/Mass_Data[[#This Row],[Total (1)]]))),"")</f>
        <v>19.918699186991869</v>
      </c>
      <c r="AF200" s="22">
        <f>IFERROR(IF(Mass_Data[[#This Row],[Check (1)]]="YES",Mass_Data[[#This Row],[MDL axle group 4 mass]],Mass_Data[[#This Row],[MDL axle group 4 mass]]-(Mass_Data[[#This Row],[Difference between MDL and GCM]]*(Mass_Data[[#This Row],[MDL axle group 4 mass]]/Mass_Data[[#This Row],[Total (1)]]))),"")</f>
        <v>19.918699186991869</v>
      </c>
      <c r="AG200" s="22">
        <f>IFERROR(IF(Mass_Data[[#This Row],[Check (1)]]="YES",Mass_Data[[#This Row],[MDL axle group 5 mass]],Mass_Data[[#This Row],[MDL axle group 5 mass]]-(Mass_Data[[#This Row],[Difference between MDL and GCM]]*(Mass_Data[[#This Row],[MDL axle group 5 mass]]/Mass_Data[[#This Row],[Total (1)]]))),"")</f>
        <v>19.918699186991869</v>
      </c>
      <c r="AH200" s="22">
        <f>IFERROR(IF(Mass_Data[[#This Row],[Check (1)]]="YES",Mass_Data[[#This Row],[MDL axle group 6 mass]],Mass_Data[[#This Row],[MDL axle group 6 mass]]-(Mass_Data[[#This Row],[Difference between MDL and GCM]]*(Mass_Data[[#This Row],[MDL axle group 6 mass]]/Mass_Data[[#This Row],[Total (1)]]))),"")</f>
        <v>19.918699186991869</v>
      </c>
      <c r="AI200" s="22">
        <f>IFERROR(IF(Mass_Data[[#This Row],[Check (1)]]="YES",Mass_Data[[#This Row],[MDL axle group 7 mass]],Mass_Data[[#This Row],[MDL axle group 7 mass]]-(Mass_Data[[#This Row],[Difference between MDL and GCM]]*(Mass_Data[[#This Row],[MDL axle group 7 mass]]/Mass_Data[[#This Row],[Total (1)]]))),"")</f>
        <v>19.918699186991869</v>
      </c>
      <c r="AJ200" s="81">
        <f>SUM(Mass_Data[[#This Row],[Corrected axle group 1 mass]:[Corrected axle group 7 mass]])</f>
        <v>122.50000000000001</v>
      </c>
      <c r="AK200">
        <f>Mass_Data[[#This Row],[Total (2)]]-Mass_Data[[#This Row],[GCM (t)]]</f>
        <v>0</v>
      </c>
      <c r="AL200" s="22" t="str">
        <f>IF(Mass_Data[[#This Row],[Difference between MDL and corrected axle masses]]=0,"YES","NO")</f>
        <v>YES</v>
      </c>
    </row>
    <row r="201" spans="3:38" x14ac:dyDescent="0.35">
      <c r="C201" s="10" t="str">
        <f t="shared" si="3"/>
        <v>Conventional - 18-Axle A-Triple (CML)</v>
      </c>
      <c r="D201" s="10" t="s">
        <v>160</v>
      </c>
      <c r="E201" s="10" t="s">
        <v>220</v>
      </c>
      <c r="F201" s="12" t="s">
        <v>20</v>
      </c>
      <c r="G201" s="11" t="s">
        <v>202</v>
      </c>
      <c r="H201" t="s">
        <v>74</v>
      </c>
      <c r="I201" s="9">
        <v>124.5</v>
      </c>
      <c r="J201" s="14">
        <v>82.385056287480225</v>
      </c>
      <c r="K201" s="14">
        <f>Mass_Data[[#This Row],[GCM (t)]]-Mass_Data[[#This Row],[Payload (t)]]</f>
        <v>42.114943712519775</v>
      </c>
      <c r="L201" t="s">
        <v>8</v>
      </c>
      <c r="M201" t="s">
        <v>9</v>
      </c>
      <c r="N201" t="s">
        <v>10</v>
      </c>
      <c r="O201" t="s">
        <v>10</v>
      </c>
      <c r="P201" t="s">
        <v>10</v>
      </c>
      <c r="Q201" t="s">
        <v>10</v>
      </c>
      <c r="R201" t="s">
        <v>10</v>
      </c>
      <c r="S201" cm="1">
        <f t="array" ref="S201">_xlfn.XLOOKUP(Mass_Data[[#This Row],[axle group 1]]&amp;Mass_Data[[#This Row],[Mass Scheme]],Axle_Data[Axle Code]&amp;Axle_Data[Mass Scheme],Axle_Data[MDL Maximum Mass (t)],"",0)</f>
        <v>6.5</v>
      </c>
      <c r="T201" cm="1">
        <f t="array" ref="T201">_xlfn.XLOOKUP(Mass_Data[[#This Row],[axle group 2]]&amp;Mass_Data[[#This Row],[Mass Scheme]],Axle_Data[Axle Code]&amp;Axle_Data[Mass Scheme],Axle_Data[MDL Maximum Mass (t)],"",0)</f>
        <v>17</v>
      </c>
      <c r="U201" cm="1">
        <f t="array" ref="U201">_xlfn.XLOOKUP(Mass_Data[[#This Row],[axle group 3]]&amp;Mass_Data[[#This Row],[Mass Scheme]],Axle_Data[Axle Code]&amp;Axle_Data[Mass Scheme],Axle_Data[MDL Maximum Mass (t)],"",0)</f>
        <v>21</v>
      </c>
      <c r="V201" cm="1">
        <f t="array" ref="V201">_xlfn.XLOOKUP(Mass_Data[[#This Row],[axle group 4]]&amp;Mass_Data[[#This Row],[Mass Scheme]],Axle_Data[Axle Code]&amp;Axle_Data[Mass Scheme],Axle_Data[MDL Maximum Mass (t)],"",0)</f>
        <v>21</v>
      </c>
      <c r="W201" cm="1">
        <f t="array" ref="W201">_xlfn.XLOOKUP(Mass_Data[[#This Row],[axle group 5]]&amp;Mass_Data[[#This Row],[Mass Scheme]],Axle_Data[Axle Code]&amp;Axle_Data[Mass Scheme],Axle_Data[MDL Maximum Mass (t)],"",0)</f>
        <v>21</v>
      </c>
      <c r="X201" cm="1">
        <f t="array" ref="X201">_xlfn.XLOOKUP(Mass_Data[[#This Row],[axle group 6]]&amp;Mass_Data[[#This Row],[Mass Scheme]],Axle_Data[Axle Code]&amp;Axle_Data[Mass Scheme],Axle_Data[MDL Maximum Mass (t)],"",0)</f>
        <v>21</v>
      </c>
      <c r="Y201" cm="1">
        <f t="array" ref="Y201">_xlfn.XLOOKUP(Mass_Data[[#This Row],[axle group 7]]&amp;Mass_Data[[#This Row],[Mass Scheme]],Axle_Data[Axle Code]&amp;Axle_Data[Mass Scheme],Axle_Data[MDL Maximum Mass (t)],"",0)</f>
        <v>21</v>
      </c>
      <c r="Z201" s="81">
        <f>SUM(Mass_Data[[#This Row],[MDL axle group 1 mass]:[MDL axle group 7 mass]])</f>
        <v>128.5</v>
      </c>
      <c r="AA201">
        <f>Mass_Data[[#This Row],[Total (1)]]-Mass_Data[[#This Row],[GCM (t)]]</f>
        <v>4</v>
      </c>
      <c r="AB201" t="str">
        <f>IF(Mass_Data[[#This Row],[Difference between MDL and GCM]]=0,"YES","NO")</f>
        <v>NO</v>
      </c>
      <c r="AC201" s="22">
        <f>IFERROR(IF(Mass_Data[[#This Row],[Check (1)]]="YES",Mass_Data[[#This Row],[MDL axle group 1 mass]],Mass_Data[[#This Row],[MDL axle group 1 mass]]-(Mass_Data[[#This Row],[Difference between MDL and GCM]]*(Mass_Data[[#This Row],[MDL axle group 1 mass]]/Mass_Data[[#This Row],[Total (1)]]))),"")</f>
        <v>6.2976653696498053</v>
      </c>
      <c r="AD201" s="22">
        <f>IFERROR(IF(Mass_Data[[#This Row],[Check (1)]]="YES",Mass_Data[[#This Row],[MDL axle group 2 mass]],Mass_Data[[#This Row],[MDL axle group 2 mass]]-(Mass_Data[[#This Row],[Difference between MDL and GCM]]*(Mass_Data[[#This Row],[MDL axle group 2 mass]]/Mass_Data[[#This Row],[Total (1)]]))),"")</f>
        <v>16.470817120622566</v>
      </c>
      <c r="AE201" s="22">
        <f>IFERROR(IF(Mass_Data[[#This Row],[Check (1)]]="YES",Mass_Data[[#This Row],[MDL axle group 3 mass]],Mass_Data[[#This Row],[MDL axle group 3 mass]]-(Mass_Data[[#This Row],[Difference between MDL and GCM]]*(Mass_Data[[#This Row],[MDL axle group 3 mass]]/Mass_Data[[#This Row],[Total (1)]]))),"")</f>
        <v>20.346303501945524</v>
      </c>
      <c r="AF201" s="22">
        <f>IFERROR(IF(Mass_Data[[#This Row],[Check (1)]]="YES",Mass_Data[[#This Row],[MDL axle group 4 mass]],Mass_Data[[#This Row],[MDL axle group 4 mass]]-(Mass_Data[[#This Row],[Difference between MDL and GCM]]*(Mass_Data[[#This Row],[MDL axle group 4 mass]]/Mass_Data[[#This Row],[Total (1)]]))),"")</f>
        <v>20.346303501945524</v>
      </c>
      <c r="AG201" s="22">
        <f>IFERROR(IF(Mass_Data[[#This Row],[Check (1)]]="YES",Mass_Data[[#This Row],[MDL axle group 5 mass]],Mass_Data[[#This Row],[MDL axle group 5 mass]]-(Mass_Data[[#This Row],[Difference between MDL and GCM]]*(Mass_Data[[#This Row],[MDL axle group 5 mass]]/Mass_Data[[#This Row],[Total (1)]]))),"")</f>
        <v>20.346303501945524</v>
      </c>
      <c r="AH201" s="22">
        <f>IFERROR(IF(Mass_Data[[#This Row],[Check (1)]]="YES",Mass_Data[[#This Row],[MDL axle group 6 mass]],Mass_Data[[#This Row],[MDL axle group 6 mass]]-(Mass_Data[[#This Row],[Difference between MDL and GCM]]*(Mass_Data[[#This Row],[MDL axle group 6 mass]]/Mass_Data[[#This Row],[Total (1)]]))),"")</f>
        <v>20.346303501945524</v>
      </c>
      <c r="AI201" s="22">
        <f>IFERROR(IF(Mass_Data[[#This Row],[Check (1)]]="YES",Mass_Data[[#This Row],[MDL axle group 7 mass]],Mass_Data[[#This Row],[MDL axle group 7 mass]]-(Mass_Data[[#This Row],[Difference between MDL and GCM]]*(Mass_Data[[#This Row],[MDL axle group 7 mass]]/Mass_Data[[#This Row],[Total (1)]]))),"")</f>
        <v>20.346303501945524</v>
      </c>
      <c r="AJ201" s="81">
        <f>SUM(Mass_Data[[#This Row],[Corrected axle group 1 mass]:[Corrected axle group 7 mass]])</f>
        <v>124.5</v>
      </c>
      <c r="AK201">
        <f>Mass_Data[[#This Row],[Total (2)]]-Mass_Data[[#This Row],[GCM (t)]]</f>
        <v>0</v>
      </c>
      <c r="AL201" s="22" t="str">
        <f>IF(Mass_Data[[#This Row],[Difference between MDL and corrected axle masses]]=0,"YES","NO")</f>
        <v>YES</v>
      </c>
    </row>
    <row r="202" spans="3:38" x14ac:dyDescent="0.35">
      <c r="C202" s="10" t="str">
        <f t="shared" si="3"/>
        <v>Conventional - 18-Axle A-Triple (HML)</v>
      </c>
      <c r="D202" s="10" t="s">
        <v>160</v>
      </c>
      <c r="E202" s="10" t="s">
        <v>220</v>
      </c>
      <c r="F202" s="12" t="s">
        <v>7</v>
      </c>
      <c r="G202" s="11" t="s">
        <v>202</v>
      </c>
      <c r="H202" t="s">
        <v>74</v>
      </c>
      <c r="I202" s="9">
        <v>135.5</v>
      </c>
      <c r="J202" s="14">
        <v>93.385056287480225</v>
      </c>
      <c r="K202" s="14">
        <f>Mass_Data[[#This Row],[GCM (t)]]-Mass_Data[[#This Row],[Payload (t)]]</f>
        <v>42.114943712519775</v>
      </c>
      <c r="L202" t="s">
        <v>8</v>
      </c>
      <c r="M202" t="s">
        <v>9</v>
      </c>
      <c r="N202" t="s">
        <v>10</v>
      </c>
      <c r="O202" t="s">
        <v>10</v>
      </c>
      <c r="P202" t="s">
        <v>10</v>
      </c>
      <c r="Q202" t="s">
        <v>10</v>
      </c>
      <c r="R202" t="s">
        <v>10</v>
      </c>
      <c r="S202" cm="1">
        <f t="array" ref="S202">_xlfn.XLOOKUP(Mass_Data[[#This Row],[axle group 1]]&amp;Mass_Data[[#This Row],[Mass Scheme]],Axle_Data[Axle Code]&amp;Axle_Data[Mass Scheme],Axle_Data[MDL Maximum Mass (t)],"",0)</f>
        <v>6.5</v>
      </c>
      <c r="T202" cm="1">
        <f t="array" ref="T202">_xlfn.XLOOKUP(Mass_Data[[#This Row],[axle group 2]]&amp;Mass_Data[[#This Row],[Mass Scheme]],Axle_Data[Axle Code]&amp;Axle_Data[Mass Scheme],Axle_Data[MDL Maximum Mass (t)],"",0)</f>
        <v>17</v>
      </c>
      <c r="U202" cm="1">
        <f t="array" ref="U202">_xlfn.XLOOKUP(Mass_Data[[#This Row],[axle group 3]]&amp;Mass_Data[[#This Row],[Mass Scheme]],Axle_Data[Axle Code]&amp;Axle_Data[Mass Scheme],Axle_Data[MDL Maximum Mass (t)],"",0)</f>
        <v>22.5</v>
      </c>
      <c r="V202" cm="1">
        <f t="array" ref="V202">_xlfn.XLOOKUP(Mass_Data[[#This Row],[axle group 4]]&amp;Mass_Data[[#This Row],[Mass Scheme]],Axle_Data[Axle Code]&amp;Axle_Data[Mass Scheme],Axle_Data[MDL Maximum Mass (t)],"",0)</f>
        <v>22.5</v>
      </c>
      <c r="W202" cm="1">
        <f t="array" ref="W202">_xlfn.XLOOKUP(Mass_Data[[#This Row],[axle group 5]]&amp;Mass_Data[[#This Row],[Mass Scheme]],Axle_Data[Axle Code]&amp;Axle_Data[Mass Scheme],Axle_Data[MDL Maximum Mass (t)],"",0)</f>
        <v>22.5</v>
      </c>
      <c r="X202" cm="1">
        <f t="array" ref="X202">_xlfn.XLOOKUP(Mass_Data[[#This Row],[axle group 6]]&amp;Mass_Data[[#This Row],[Mass Scheme]],Axle_Data[Axle Code]&amp;Axle_Data[Mass Scheme],Axle_Data[MDL Maximum Mass (t)],"",0)</f>
        <v>22.5</v>
      </c>
      <c r="Y202" cm="1">
        <f t="array" ref="Y202">_xlfn.XLOOKUP(Mass_Data[[#This Row],[axle group 7]]&amp;Mass_Data[[#This Row],[Mass Scheme]],Axle_Data[Axle Code]&amp;Axle_Data[Mass Scheme],Axle_Data[MDL Maximum Mass (t)],"",0)</f>
        <v>22.5</v>
      </c>
      <c r="Z202" s="81">
        <f>SUM(Mass_Data[[#This Row],[MDL axle group 1 mass]:[MDL axle group 7 mass]])</f>
        <v>136</v>
      </c>
      <c r="AA202">
        <f>Mass_Data[[#This Row],[Total (1)]]-Mass_Data[[#This Row],[GCM (t)]]</f>
        <v>0.5</v>
      </c>
      <c r="AB202" t="str">
        <f>IF(Mass_Data[[#This Row],[Difference between MDL and GCM]]=0,"YES","NO")</f>
        <v>NO</v>
      </c>
      <c r="AC202" s="22">
        <f>IFERROR(IF(Mass_Data[[#This Row],[Check (1)]]="YES",Mass_Data[[#This Row],[MDL axle group 1 mass]],Mass_Data[[#This Row],[MDL axle group 1 mass]]-(Mass_Data[[#This Row],[Difference between MDL and GCM]]*(Mass_Data[[#This Row],[MDL axle group 1 mass]]/Mass_Data[[#This Row],[Total (1)]]))),"")</f>
        <v>6.476102941176471</v>
      </c>
      <c r="AD202" s="22">
        <f>IFERROR(IF(Mass_Data[[#This Row],[Check (1)]]="YES",Mass_Data[[#This Row],[MDL axle group 2 mass]],Mass_Data[[#This Row],[MDL axle group 2 mass]]-(Mass_Data[[#This Row],[Difference between MDL and GCM]]*(Mass_Data[[#This Row],[MDL axle group 2 mass]]/Mass_Data[[#This Row],[Total (1)]]))),"")</f>
        <v>16.9375</v>
      </c>
      <c r="AE202" s="22">
        <f>IFERROR(IF(Mass_Data[[#This Row],[Check (1)]]="YES",Mass_Data[[#This Row],[MDL axle group 3 mass]],Mass_Data[[#This Row],[MDL axle group 3 mass]]-(Mass_Data[[#This Row],[Difference between MDL and GCM]]*(Mass_Data[[#This Row],[MDL axle group 3 mass]]/Mass_Data[[#This Row],[Total (1)]]))),"")</f>
        <v>22.417279411764707</v>
      </c>
      <c r="AF202" s="22">
        <f>IFERROR(IF(Mass_Data[[#This Row],[Check (1)]]="YES",Mass_Data[[#This Row],[MDL axle group 4 mass]],Mass_Data[[#This Row],[MDL axle group 4 mass]]-(Mass_Data[[#This Row],[Difference between MDL and GCM]]*(Mass_Data[[#This Row],[MDL axle group 4 mass]]/Mass_Data[[#This Row],[Total (1)]]))),"")</f>
        <v>22.417279411764707</v>
      </c>
      <c r="AG202" s="22">
        <f>IFERROR(IF(Mass_Data[[#This Row],[Check (1)]]="YES",Mass_Data[[#This Row],[MDL axle group 5 mass]],Mass_Data[[#This Row],[MDL axle group 5 mass]]-(Mass_Data[[#This Row],[Difference between MDL and GCM]]*(Mass_Data[[#This Row],[MDL axle group 5 mass]]/Mass_Data[[#This Row],[Total (1)]]))),"")</f>
        <v>22.417279411764707</v>
      </c>
      <c r="AH202" s="22">
        <f>IFERROR(IF(Mass_Data[[#This Row],[Check (1)]]="YES",Mass_Data[[#This Row],[MDL axle group 6 mass]],Mass_Data[[#This Row],[MDL axle group 6 mass]]-(Mass_Data[[#This Row],[Difference between MDL and GCM]]*(Mass_Data[[#This Row],[MDL axle group 6 mass]]/Mass_Data[[#This Row],[Total (1)]]))),"")</f>
        <v>22.417279411764707</v>
      </c>
      <c r="AI202" s="22">
        <f>IFERROR(IF(Mass_Data[[#This Row],[Check (1)]]="YES",Mass_Data[[#This Row],[MDL axle group 7 mass]],Mass_Data[[#This Row],[MDL axle group 7 mass]]-(Mass_Data[[#This Row],[Difference between MDL and GCM]]*(Mass_Data[[#This Row],[MDL axle group 7 mass]]/Mass_Data[[#This Row],[Total (1)]]))),"")</f>
        <v>22.417279411764707</v>
      </c>
      <c r="AJ202" s="81">
        <f>SUM(Mass_Data[[#This Row],[Corrected axle group 1 mass]:[Corrected axle group 7 mass]])</f>
        <v>135.5</v>
      </c>
      <c r="AK202">
        <f>Mass_Data[[#This Row],[Total (2)]]-Mass_Data[[#This Row],[GCM (t)]]</f>
        <v>0</v>
      </c>
      <c r="AL202" s="22" t="str">
        <f>IF(Mass_Data[[#This Row],[Difference between MDL and corrected axle masses]]=0,"YES","NO")</f>
        <v>YES</v>
      </c>
    </row>
    <row r="203" spans="3:38" x14ac:dyDescent="0.35">
      <c r="C203" s="10" t="str">
        <f t="shared" si="3"/>
        <v>Conventional - 15-Axle AB-Triple (GML)</v>
      </c>
      <c r="D203" s="10" t="s">
        <v>166</v>
      </c>
      <c r="E203" s="10" t="s">
        <v>220</v>
      </c>
      <c r="F203" s="12" t="s">
        <v>18</v>
      </c>
      <c r="G203" s="11" t="s">
        <v>202</v>
      </c>
      <c r="H203" t="s">
        <v>71</v>
      </c>
      <c r="I203" s="9">
        <v>102.5</v>
      </c>
      <c r="J203" s="14">
        <v>65.099606692246198</v>
      </c>
      <c r="K203" s="14">
        <f>Mass_Data[[#This Row],[GCM (t)]]-Mass_Data[[#This Row],[Payload (t)]]</f>
        <v>37.400393307753802</v>
      </c>
      <c r="L203" t="s">
        <v>8</v>
      </c>
      <c r="M203" t="s">
        <v>9</v>
      </c>
      <c r="N203" t="s">
        <v>10</v>
      </c>
      <c r="O203" t="s">
        <v>10</v>
      </c>
      <c r="P203" t="s">
        <v>10</v>
      </c>
      <c r="Q203" t="s">
        <v>10</v>
      </c>
      <c r="R203">
        <v>0</v>
      </c>
      <c r="S203" cm="1">
        <f t="array" ref="S203">_xlfn.XLOOKUP(Mass_Data[[#This Row],[axle group 1]]&amp;Mass_Data[[#This Row],[Mass Scheme]],Axle_Data[Axle Code]&amp;Axle_Data[Mass Scheme],Axle_Data[MDL Maximum Mass (t)],"",0)</f>
        <v>6.5</v>
      </c>
      <c r="T203" cm="1">
        <f t="array" ref="T203">_xlfn.XLOOKUP(Mass_Data[[#This Row],[axle group 2]]&amp;Mass_Data[[#This Row],[Mass Scheme]],Axle_Data[Axle Code]&amp;Axle_Data[Mass Scheme],Axle_Data[MDL Maximum Mass (t)],"",0)</f>
        <v>16.5</v>
      </c>
      <c r="U203" cm="1">
        <f t="array" ref="U203">_xlfn.XLOOKUP(Mass_Data[[#This Row],[axle group 3]]&amp;Mass_Data[[#This Row],[Mass Scheme]],Axle_Data[Axle Code]&amp;Axle_Data[Mass Scheme],Axle_Data[MDL Maximum Mass (t)],"",0)</f>
        <v>20</v>
      </c>
      <c r="V203" cm="1">
        <f t="array" ref="V203">_xlfn.XLOOKUP(Mass_Data[[#This Row],[axle group 4]]&amp;Mass_Data[[#This Row],[Mass Scheme]],Axle_Data[Axle Code]&amp;Axle_Data[Mass Scheme],Axle_Data[MDL Maximum Mass (t)],"",0)</f>
        <v>20</v>
      </c>
      <c r="W203" cm="1">
        <f t="array" ref="W203">_xlfn.XLOOKUP(Mass_Data[[#This Row],[axle group 5]]&amp;Mass_Data[[#This Row],[Mass Scheme]],Axle_Data[Axle Code]&amp;Axle_Data[Mass Scheme],Axle_Data[MDL Maximum Mass (t)],"",0)</f>
        <v>20</v>
      </c>
      <c r="X203" cm="1">
        <f t="array" ref="X203">_xlfn.XLOOKUP(Mass_Data[[#This Row],[axle group 6]]&amp;Mass_Data[[#This Row],[Mass Scheme]],Axle_Data[Axle Code]&amp;Axle_Data[Mass Scheme],Axle_Data[MDL Maximum Mass (t)],"",0)</f>
        <v>20</v>
      </c>
      <c r="Y203" t="str" cm="1">
        <f t="array" ref="Y203">_xlfn.XLOOKUP(Mass_Data[[#This Row],[axle group 7]]&amp;Mass_Data[[#This Row],[Mass Scheme]],Axle_Data[Axle Code]&amp;Axle_Data[Mass Scheme],Axle_Data[MDL Maximum Mass (t)],"",0)</f>
        <v/>
      </c>
      <c r="Z203" s="81">
        <f>SUM(Mass_Data[[#This Row],[MDL axle group 1 mass]:[MDL axle group 7 mass]])</f>
        <v>103</v>
      </c>
      <c r="AA203">
        <f>Mass_Data[[#This Row],[Total (1)]]-Mass_Data[[#This Row],[GCM (t)]]</f>
        <v>0.5</v>
      </c>
      <c r="AB203" t="str">
        <f>IF(Mass_Data[[#This Row],[Difference between MDL and GCM]]=0,"YES","NO")</f>
        <v>NO</v>
      </c>
      <c r="AC203" s="22">
        <f>IFERROR(IF(Mass_Data[[#This Row],[Check (1)]]="YES",Mass_Data[[#This Row],[MDL axle group 1 mass]],Mass_Data[[#This Row],[MDL axle group 1 mass]]-(Mass_Data[[#This Row],[Difference between MDL and GCM]]*(Mass_Data[[#This Row],[MDL axle group 1 mass]]/Mass_Data[[#This Row],[Total (1)]]))),"")</f>
        <v>6.4684466019417473</v>
      </c>
      <c r="AD203" s="22">
        <f>IFERROR(IF(Mass_Data[[#This Row],[Check (1)]]="YES",Mass_Data[[#This Row],[MDL axle group 2 mass]],Mass_Data[[#This Row],[MDL axle group 2 mass]]-(Mass_Data[[#This Row],[Difference between MDL and GCM]]*(Mass_Data[[#This Row],[MDL axle group 2 mass]]/Mass_Data[[#This Row],[Total (1)]]))),"")</f>
        <v>16.41990291262136</v>
      </c>
      <c r="AE203" s="22">
        <f>IFERROR(IF(Mass_Data[[#This Row],[Check (1)]]="YES",Mass_Data[[#This Row],[MDL axle group 3 mass]],Mass_Data[[#This Row],[MDL axle group 3 mass]]-(Mass_Data[[#This Row],[Difference between MDL and GCM]]*(Mass_Data[[#This Row],[MDL axle group 3 mass]]/Mass_Data[[#This Row],[Total (1)]]))),"")</f>
        <v>19.902912621359224</v>
      </c>
      <c r="AF203" s="22">
        <f>IFERROR(IF(Mass_Data[[#This Row],[Check (1)]]="YES",Mass_Data[[#This Row],[MDL axle group 4 mass]],Mass_Data[[#This Row],[MDL axle group 4 mass]]-(Mass_Data[[#This Row],[Difference between MDL and GCM]]*(Mass_Data[[#This Row],[MDL axle group 4 mass]]/Mass_Data[[#This Row],[Total (1)]]))),"")</f>
        <v>19.902912621359224</v>
      </c>
      <c r="AG203" s="22">
        <f>IFERROR(IF(Mass_Data[[#This Row],[Check (1)]]="YES",Mass_Data[[#This Row],[MDL axle group 5 mass]],Mass_Data[[#This Row],[MDL axle group 5 mass]]-(Mass_Data[[#This Row],[Difference between MDL and GCM]]*(Mass_Data[[#This Row],[MDL axle group 5 mass]]/Mass_Data[[#This Row],[Total (1)]]))),"")</f>
        <v>19.902912621359224</v>
      </c>
      <c r="AH203" s="22">
        <f>IFERROR(IF(Mass_Data[[#This Row],[Check (1)]]="YES",Mass_Data[[#This Row],[MDL axle group 6 mass]],Mass_Data[[#This Row],[MDL axle group 6 mass]]-(Mass_Data[[#This Row],[Difference between MDL and GCM]]*(Mass_Data[[#This Row],[MDL axle group 6 mass]]/Mass_Data[[#This Row],[Total (1)]]))),"")</f>
        <v>19.902912621359224</v>
      </c>
      <c r="AI203" s="22" t="str">
        <f>IFERROR(IF(Mass_Data[[#This Row],[Check (1)]]="YES",Mass_Data[[#This Row],[MDL axle group 7 mass]],Mass_Data[[#This Row],[MDL axle group 7 mass]]-(Mass_Data[[#This Row],[Difference between MDL and GCM]]*(Mass_Data[[#This Row],[MDL axle group 7 mass]]/Mass_Data[[#This Row],[Total (1)]]))),"")</f>
        <v/>
      </c>
      <c r="AJ203" s="81">
        <f>SUM(Mass_Data[[#This Row],[Corrected axle group 1 mass]:[Corrected axle group 7 mass]])</f>
        <v>102.5</v>
      </c>
      <c r="AK203">
        <f>Mass_Data[[#This Row],[Total (2)]]-Mass_Data[[#This Row],[GCM (t)]]</f>
        <v>0</v>
      </c>
      <c r="AL203" s="22" t="str">
        <f>IF(Mass_Data[[#This Row],[Difference between MDL and corrected axle masses]]=0,"YES","NO")</f>
        <v>YES</v>
      </c>
    </row>
    <row r="204" spans="3:38" x14ac:dyDescent="0.35">
      <c r="C204" s="10" t="str">
        <f t="shared" si="3"/>
        <v>Conventional - 15-Axle AB-Triple (CML)</v>
      </c>
      <c r="D204" s="10" t="s">
        <v>166</v>
      </c>
      <c r="E204" s="10" t="s">
        <v>220</v>
      </c>
      <c r="F204" s="12" t="s">
        <v>20</v>
      </c>
      <c r="G204" s="11" t="s">
        <v>202</v>
      </c>
      <c r="H204" t="s">
        <v>71</v>
      </c>
      <c r="I204" s="9">
        <v>104.5</v>
      </c>
      <c r="J204" s="14">
        <v>67.099606692246198</v>
      </c>
      <c r="K204" s="14">
        <f>Mass_Data[[#This Row],[GCM (t)]]-Mass_Data[[#This Row],[Payload (t)]]</f>
        <v>37.400393307753802</v>
      </c>
      <c r="L204" t="s">
        <v>8</v>
      </c>
      <c r="M204" t="s">
        <v>9</v>
      </c>
      <c r="N204" t="s">
        <v>10</v>
      </c>
      <c r="O204" t="s">
        <v>10</v>
      </c>
      <c r="P204" t="s">
        <v>10</v>
      </c>
      <c r="Q204" t="s">
        <v>10</v>
      </c>
      <c r="R204">
        <v>0</v>
      </c>
      <c r="S204" cm="1">
        <f t="array" ref="S204">_xlfn.XLOOKUP(Mass_Data[[#This Row],[axle group 1]]&amp;Mass_Data[[#This Row],[Mass Scheme]],Axle_Data[Axle Code]&amp;Axle_Data[Mass Scheme],Axle_Data[MDL Maximum Mass (t)],"",0)</f>
        <v>6.5</v>
      </c>
      <c r="T204" cm="1">
        <f t="array" ref="T204">_xlfn.XLOOKUP(Mass_Data[[#This Row],[axle group 2]]&amp;Mass_Data[[#This Row],[Mass Scheme]],Axle_Data[Axle Code]&amp;Axle_Data[Mass Scheme],Axle_Data[MDL Maximum Mass (t)],"",0)</f>
        <v>17</v>
      </c>
      <c r="U204" cm="1">
        <f t="array" ref="U204">_xlfn.XLOOKUP(Mass_Data[[#This Row],[axle group 3]]&amp;Mass_Data[[#This Row],[Mass Scheme]],Axle_Data[Axle Code]&amp;Axle_Data[Mass Scheme],Axle_Data[MDL Maximum Mass (t)],"",0)</f>
        <v>21</v>
      </c>
      <c r="V204" cm="1">
        <f t="array" ref="V204">_xlfn.XLOOKUP(Mass_Data[[#This Row],[axle group 4]]&amp;Mass_Data[[#This Row],[Mass Scheme]],Axle_Data[Axle Code]&amp;Axle_Data[Mass Scheme],Axle_Data[MDL Maximum Mass (t)],"",0)</f>
        <v>21</v>
      </c>
      <c r="W204" cm="1">
        <f t="array" ref="W204">_xlfn.XLOOKUP(Mass_Data[[#This Row],[axle group 5]]&amp;Mass_Data[[#This Row],[Mass Scheme]],Axle_Data[Axle Code]&amp;Axle_Data[Mass Scheme],Axle_Data[MDL Maximum Mass (t)],"",0)</f>
        <v>21</v>
      </c>
      <c r="X204" cm="1">
        <f t="array" ref="X204">_xlfn.XLOOKUP(Mass_Data[[#This Row],[axle group 6]]&amp;Mass_Data[[#This Row],[Mass Scheme]],Axle_Data[Axle Code]&amp;Axle_Data[Mass Scheme],Axle_Data[MDL Maximum Mass (t)],"",0)</f>
        <v>21</v>
      </c>
      <c r="Y204" t="str" cm="1">
        <f t="array" ref="Y204">_xlfn.XLOOKUP(Mass_Data[[#This Row],[axle group 7]]&amp;Mass_Data[[#This Row],[Mass Scheme]],Axle_Data[Axle Code]&amp;Axle_Data[Mass Scheme],Axle_Data[MDL Maximum Mass (t)],"",0)</f>
        <v/>
      </c>
      <c r="Z204" s="81">
        <f>SUM(Mass_Data[[#This Row],[MDL axle group 1 mass]:[MDL axle group 7 mass]])</f>
        <v>107.5</v>
      </c>
      <c r="AA204">
        <f>Mass_Data[[#This Row],[Total (1)]]-Mass_Data[[#This Row],[GCM (t)]]</f>
        <v>3</v>
      </c>
      <c r="AB204" t="str">
        <f>IF(Mass_Data[[#This Row],[Difference between MDL and GCM]]=0,"YES","NO")</f>
        <v>NO</v>
      </c>
      <c r="AC204" s="22">
        <f>IFERROR(IF(Mass_Data[[#This Row],[Check (1)]]="YES",Mass_Data[[#This Row],[MDL axle group 1 mass]],Mass_Data[[#This Row],[MDL axle group 1 mass]]-(Mass_Data[[#This Row],[Difference between MDL and GCM]]*(Mass_Data[[#This Row],[MDL axle group 1 mass]]/Mass_Data[[#This Row],[Total (1)]]))),"")</f>
        <v>6.3186046511627909</v>
      </c>
      <c r="AD204" s="22">
        <f>IFERROR(IF(Mass_Data[[#This Row],[Check (1)]]="YES",Mass_Data[[#This Row],[MDL axle group 2 mass]],Mass_Data[[#This Row],[MDL axle group 2 mass]]-(Mass_Data[[#This Row],[Difference between MDL and GCM]]*(Mass_Data[[#This Row],[MDL axle group 2 mass]]/Mass_Data[[#This Row],[Total (1)]]))),"")</f>
        <v>16.525581395348837</v>
      </c>
      <c r="AE204" s="22">
        <f>IFERROR(IF(Mass_Data[[#This Row],[Check (1)]]="YES",Mass_Data[[#This Row],[MDL axle group 3 mass]],Mass_Data[[#This Row],[MDL axle group 3 mass]]-(Mass_Data[[#This Row],[Difference between MDL and GCM]]*(Mass_Data[[#This Row],[MDL axle group 3 mass]]/Mass_Data[[#This Row],[Total (1)]]))),"")</f>
        <v>20.413953488372094</v>
      </c>
      <c r="AF204" s="22">
        <f>IFERROR(IF(Mass_Data[[#This Row],[Check (1)]]="YES",Mass_Data[[#This Row],[MDL axle group 4 mass]],Mass_Data[[#This Row],[MDL axle group 4 mass]]-(Mass_Data[[#This Row],[Difference between MDL and GCM]]*(Mass_Data[[#This Row],[MDL axle group 4 mass]]/Mass_Data[[#This Row],[Total (1)]]))),"")</f>
        <v>20.413953488372094</v>
      </c>
      <c r="AG204" s="22">
        <f>IFERROR(IF(Mass_Data[[#This Row],[Check (1)]]="YES",Mass_Data[[#This Row],[MDL axle group 5 mass]],Mass_Data[[#This Row],[MDL axle group 5 mass]]-(Mass_Data[[#This Row],[Difference between MDL and GCM]]*(Mass_Data[[#This Row],[MDL axle group 5 mass]]/Mass_Data[[#This Row],[Total (1)]]))),"")</f>
        <v>20.413953488372094</v>
      </c>
      <c r="AH204" s="22">
        <f>IFERROR(IF(Mass_Data[[#This Row],[Check (1)]]="YES",Mass_Data[[#This Row],[MDL axle group 6 mass]],Mass_Data[[#This Row],[MDL axle group 6 mass]]-(Mass_Data[[#This Row],[Difference between MDL and GCM]]*(Mass_Data[[#This Row],[MDL axle group 6 mass]]/Mass_Data[[#This Row],[Total (1)]]))),"")</f>
        <v>20.413953488372094</v>
      </c>
      <c r="AI204" s="22" t="str">
        <f>IFERROR(IF(Mass_Data[[#This Row],[Check (1)]]="YES",Mass_Data[[#This Row],[MDL axle group 7 mass]],Mass_Data[[#This Row],[MDL axle group 7 mass]]-(Mass_Data[[#This Row],[Difference between MDL and GCM]]*(Mass_Data[[#This Row],[MDL axle group 7 mass]]/Mass_Data[[#This Row],[Total (1)]]))),"")</f>
        <v/>
      </c>
      <c r="AJ204" s="81">
        <f>SUM(Mass_Data[[#This Row],[Corrected axle group 1 mass]:[Corrected axle group 7 mass]])</f>
        <v>104.5</v>
      </c>
      <c r="AK204">
        <f>Mass_Data[[#This Row],[Total (2)]]-Mass_Data[[#This Row],[GCM (t)]]</f>
        <v>0</v>
      </c>
      <c r="AL204" s="22" t="str">
        <f>IF(Mass_Data[[#This Row],[Difference between MDL and corrected axle masses]]=0,"YES","NO")</f>
        <v>YES</v>
      </c>
    </row>
    <row r="205" spans="3:38" x14ac:dyDescent="0.35">
      <c r="C205" s="10" t="str">
        <f t="shared" si="3"/>
        <v>Conventional - 15-Axle AB-Triple (HML)</v>
      </c>
      <c r="D205" s="10" t="s">
        <v>166</v>
      </c>
      <c r="E205" s="10" t="s">
        <v>220</v>
      </c>
      <c r="F205" s="12" t="s">
        <v>7</v>
      </c>
      <c r="G205" s="11" t="s">
        <v>202</v>
      </c>
      <c r="H205" t="s">
        <v>71</v>
      </c>
      <c r="I205" s="9">
        <v>113.5</v>
      </c>
      <c r="J205" s="14">
        <v>76.099606692246198</v>
      </c>
      <c r="K205" s="14">
        <f>Mass_Data[[#This Row],[GCM (t)]]-Mass_Data[[#This Row],[Payload (t)]]</f>
        <v>37.400393307753802</v>
      </c>
      <c r="L205" t="s">
        <v>8</v>
      </c>
      <c r="M205" t="s">
        <v>9</v>
      </c>
      <c r="N205" t="s">
        <v>10</v>
      </c>
      <c r="O205" t="s">
        <v>10</v>
      </c>
      <c r="P205" t="s">
        <v>10</v>
      </c>
      <c r="Q205" t="s">
        <v>10</v>
      </c>
      <c r="R205">
        <v>0</v>
      </c>
      <c r="S205" cm="1">
        <f t="array" ref="S205">_xlfn.XLOOKUP(Mass_Data[[#This Row],[axle group 1]]&amp;Mass_Data[[#This Row],[Mass Scheme]],Axle_Data[Axle Code]&amp;Axle_Data[Mass Scheme],Axle_Data[MDL Maximum Mass (t)],"",0)</f>
        <v>6.5</v>
      </c>
      <c r="T205" cm="1">
        <f t="array" ref="T205">_xlfn.XLOOKUP(Mass_Data[[#This Row],[axle group 2]]&amp;Mass_Data[[#This Row],[Mass Scheme]],Axle_Data[Axle Code]&amp;Axle_Data[Mass Scheme],Axle_Data[MDL Maximum Mass (t)],"",0)</f>
        <v>17</v>
      </c>
      <c r="U205" cm="1">
        <f t="array" ref="U205">_xlfn.XLOOKUP(Mass_Data[[#This Row],[axle group 3]]&amp;Mass_Data[[#This Row],[Mass Scheme]],Axle_Data[Axle Code]&amp;Axle_Data[Mass Scheme],Axle_Data[MDL Maximum Mass (t)],"",0)</f>
        <v>22.5</v>
      </c>
      <c r="V205" cm="1">
        <f t="array" ref="V205">_xlfn.XLOOKUP(Mass_Data[[#This Row],[axle group 4]]&amp;Mass_Data[[#This Row],[Mass Scheme]],Axle_Data[Axle Code]&amp;Axle_Data[Mass Scheme],Axle_Data[MDL Maximum Mass (t)],"",0)</f>
        <v>22.5</v>
      </c>
      <c r="W205" cm="1">
        <f t="array" ref="W205">_xlfn.XLOOKUP(Mass_Data[[#This Row],[axle group 5]]&amp;Mass_Data[[#This Row],[Mass Scheme]],Axle_Data[Axle Code]&amp;Axle_Data[Mass Scheme],Axle_Data[MDL Maximum Mass (t)],"",0)</f>
        <v>22.5</v>
      </c>
      <c r="X205" cm="1">
        <f t="array" ref="X205">_xlfn.XLOOKUP(Mass_Data[[#This Row],[axle group 6]]&amp;Mass_Data[[#This Row],[Mass Scheme]],Axle_Data[Axle Code]&amp;Axle_Data[Mass Scheme],Axle_Data[MDL Maximum Mass (t)],"",0)</f>
        <v>22.5</v>
      </c>
      <c r="Y205" t="str" cm="1">
        <f t="array" ref="Y205">_xlfn.XLOOKUP(Mass_Data[[#This Row],[axle group 7]]&amp;Mass_Data[[#This Row],[Mass Scheme]],Axle_Data[Axle Code]&amp;Axle_Data[Mass Scheme],Axle_Data[MDL Maximum Mass (t)],"",0)</f>
        <v/>
      </c>
      <c r="Z205" s="81">
        <f>SUM(Mass_Data[[#This Row],[MDL axle group 1 mass]:[MDL axle group 7 mass]])</f>
        <v>113.5</v>
      </c>
      <c r="AA205">
        <f>Mass_Data[[#This Row],[Total (1)]]-Mass_Data[[#This Row],[GCM (t)]]</f>
        <v>0</v>
      </c>
      <c r="AB205" t="str">
        <f>IF(Mass_Data[[#This Row],[Difference between MDL and GCM]]=0,"YES","NO")</f>
        <v>YES</v>
      </c>
      <c r="AC205" s="22">
        <f>IFERROR(IF(Mass_Data[[#This Row],[Check (1)]]="YES",Mass_Data[[#This Row],[MDL axle group 1 mass]],Mass_Data[[#This Row],[MDL axle group 1 mass]]-(Mass_Data[[#This Row],[Difference between MDL and GCM]]*(Mass_Data[[#This Row],[MDL axle group 1 mass]]/Mass_Data[[#This Row],[Total (1)]]))),"")</f>
        <v>6.5</v>
      </c>
      <c r="AD205" s="22">
        <f>IFERROR(IF(Mass_Data[[#This Row],[Check (1)]]="YES",Mass_Data[[#This Row],[MDL axle group 2 mass]],Mass_Data[[#This Row],[MDL axle group 2 mass]]-(Mass_Data[[#This Row],[Difference between MDL and GCM]]*(Mass_Data[[#This Row],[MDL axle group 2 mass]]/Mass_Data[[#This Row],[Total (1)]]))),"")</f>
        <v>17</v>
      </c>
      <c r="AE205" s="22">
        <f>IFERROR(IF(Mass_Data[[#This Row],[Check (1)]]="YES",Mass_Data[[#This Row],[MDL axle group 3 mass]],Mass_Data[[#This Row],[MDL axle group 3 mass]]-(Mass_Data[[#This Row],[Difference between MDL and GCM]]*(Mass_Data[[#This Row],[MDL axle group 3 mass]]/Mass_Data[[#This Row],[Total (1)]]))),"")</f>
        <v>22.5</v>
      </c>
      <c r="AF205" s="22">
        <f>IFERROR(IF(Mass_Data[[#This Row],[Check (1)]]="YES",Mass_Data[[#This Row],[MDL axle group 4 mass]],Mass_Data[[#This Row],[MDL axle group 4 mass]]-(Mass_Data[[#This Row],[Difference between MDL and GCM]]*(Mass_Data[[#This Row],[MDL axle group 4 mass]]/Mass_Data[[#This Row],[Total (1)]]))),"")</f>
        <v>22.5</v>
      </c>
      <c r="AG205" s="22">
        <f>IFERROR(IF(Mass_Data[[#This Row],[Check (1)]]="YES",Mass_Data[[#This Row],[MDL axle group 5 mass]],Mass_Data[[#This Row],[MDL axle group 5 mass]]-(Mass_Data[[#This Row],[Difference between MDL and GCM]]*(Mass_Data[[#This Row],[MDL axle group 5 mass]]/Mass_Data[[#This Row],[Total (1)]]))),"")</f>
        <v>22.5</v>
      </c>
      <c r="AH205" s="22">
        <f>IFERROR(IF(Mass_Data[[#This Row],[Check (1)]]="YES",Mass_Data[[#This Row],[MDL axle group 6 mass]],Mass_Data[[#This Row],[MDL axle group 6 mass]]-(Mass_Data[[#This Row],[Difference between MDL and GCM]]*(Mass_Data[[#This Row],[MDL axle group 6 mass]]/Mass_Data[[#This Row],[Total (1)]]))),"")</f>
        <v>22.5</v>
      </c>
      <c r="AI205" s="22" t="str">
        <f>IFERROR(IF(Mass_Data[[#This Row],[Check (1)]]="YES",Mass_Data[[#This Row],[MDL axle group 7 mass]],Mass_Data[[#This Row],[MDL axle group 7 mass]]-(Mass_Data[[#This Row],[Difference between MDL and GCM]]*(Mass_Data[[#This Row],[MDL axle group 7 mass]]/Mass_Data[[#This Row],[Total (1)]]))),"")</f>
        <v/>
      </c>
      <c r="AJ205" s="81">
        <f>SUM(Mass_Data[[#This Row],[Corrected axle group 1 mass]:[Corrected axle group 7 mass]])</f>
        <v>113.5</v>
      </c>
      <c r="AK205">
        <f>Mass_Data[[#This Row],[Total (2)]]-Mass_Data[[#This Row],[GCM (t)]]</f>
        <v>0</v>
      </c>
      <c r="AL205" s="22" t="str">
        <f>IF(Mass_Data[[#This Row],[Difference between MDL and corrected axle masses]]=0,"YES","NO")</f>
        <v>YES</v>
      </c>
    </row>
    <row r="206" spans="3:38" x14ac:dyDescent="0.35">
      <c r="C206" s="10" t="str">
        <f t="shared" si="3"/>
        <v>Conventional - 15-Axle AB-Triple (GML)</v>
      </c>
      <c r="D206" s="10" t="s">
        <v>166</v>
      </c>
      <c r="E206" s="10" t="s">
        <v>220</v>
      </c>
      <c r="F206" s="12" t="s">
        <v>18</v>
      </c>
      <c r="G206" s="11" t="s">
        <v>202</v>
      </c>
      <c r="H206" t="s">
        <v>71</v>
      </c>
      <c r="I206" s="9">
        <v>102.5</v>
      </c>
      <c r="J206" s="14">
        <v>65.099606692246198</v>
      </c>
      <c r="K206" s="14">
        <f>Mass_Data[[#This Row],[GCM (t)]]-Mass_Data[[#This Row],[Payload (t)]]</f>
        <v>37.400393307753802</v>
      </c>
      <c r="L206" t="s">
        <v>8</v>
      </c>
      <c r="M206" t="s">
        <v>9</v>
      </c>
      <c r="N206" t="s">
        <v>10</v>
      </c>
      <c r="O206" t="s">
        <v>10</v>
      </c>
      <c r="P206" t="s">
        <v>10</v>
      </c>
      <c r="Q206" t="s">
        <v>10</v>
      </c>
      <c r="R206">
        <v>0</v>
      </c>
      <c r="S206" cm="1">
        <f t="array" ref="S206">_xlfn.XLOOKUP(Mass_Data[[#This Row],[axle group 1]]&amp;Mass_Data[[#This Row],[Mass Scheme]],Axle_Data[Axle Code]&amp;Axle_Data[Mass Scheme],Axle_Data[MDL Maximum Mass (t)],"",0)</f>
        <v>6.5</v>
      </c>
      <c r="T206" cm="1">
        <f t="array" ref="T206">_xlfn.XLOOKUP(Mass_Data[[#This Row],[axle group 2]]&amp;Mass_Data[[#This Row],[Mass Scheme]],Axle_Data[Axle Code]&amp;Axle_Data[Mass Scheme],Axle_Data[MDL Maximum Mass (t)],"",0)</f>
        <v>16.5</v>
      </c>
      <c r="U206" cm="1">
        <f t="array" ref="U206">_xlfn.XLOOKUP(Mass_Data[[#This Row],[axle group 3]]&amp;Mass_Data[[#This Row],[Mass Scheme]],Axle_Data[Axle Code]&amp;Axle_Data[Mass Scheme],Axle_Data[MDL Maximum Mass (t)],"",0)</f>
        <v>20</v>
      </c>
      <c r="V206" cm="1">
        <f t="array" ref="V206">_xlfn.XLOOKUP(Mass_Data[[#This Row],[axle group 4]]&amp;Mass_Data[[#This Row],[Mass Scheme]],Axle_Data[Axle Code]&amp;Axle_Data[Mass Scheme],Axle_Data[MDL Maximum Mass (t)],"",0)</f>
        <v>20</v>
      </c>
      <c r="W206" cm="1">
        <f t="array" ref="W206">_xlfn.XLOOKUP(Mass_Data[[#This Row],[axle group 5]]&amp;Mass_Data[[#This Row],[Mass Scheme]],Axle_Data[Axle Code]&amp;Axle_Data[Mass Scheme],Axle_Data[MDL Maximum Mass (t)],"",0)</f>
        <v>20</v>
      </c>
      <c r="X206" cm="1">
        <f t="array" ref="X206">_xlfn.XLOOKUP(Mass_Data[[#This Row],[axle group 6]]&amp;Mass_Data[[#This Row],[Mass Scheme]],Axle_Data[Axle Code]&amp;Axle_Data[Mass Scheme],Axle_Data[MDL Maximum Mass (t)],"",0)</f>
        <v>20</v>
      </c>
      <c r="Y206" t="str" cm="1">
        <f t="array" ref="Y206">_xlfn.XLOOKUP(Mass_Data[[#This Row],[axle group 7]]&amp;Mass_Data[[#This Row],[Mass Scheme]],Axle_Data[Axle Code]&amp;Axle_Data[Mass Scheme],Axle_Data[MDL Maximum Mass (t)],"",0)</f>
        <v/>
      </c>
      <c r="Z206" s="81">
        <f>SUM(Mass_Data[[#This Row],[MDL axle group 1 mass]:[MDL axle group 7 mass]])</f>
        <v>103</v>
      </c>
      <c r="AA206">
        <f>Mass_Data[[#This Row],[Total (1)]]-Mass_Data[[#This Row],[GCM (t)]]</f>
        <v>0.5</v>
      </c>
      <c r="AB206" t="str">
        <f>IF(Mass_Data[[#This Row],[Difference between MDL and GCM]]=0,"YES","NO")</f>
        <v>NO</v>
      </c>
      <c r="AC206" s="22">
        <f>IFERROR(IF(Mass_Data[[#This Row],[Check (1)]]="YES",Mass_Data[[#This Row],[MDL axle group 1 mass]],Mass_Data[[#This Row],[MDL axle group 1 mass]]-(Mass_Data[[#This Row],[Difference between MDL and GCM]]*(Mass_Data[[#This Row],[MDL axle group 1 mass]]/Mass_Data[[#This Row],[Total (1)]]))),"")</f>
        <v>6.4684466019417473</v>
      </c>
      <c r="AD206" s="22">
        <f>IFERROR(IF(Mass_Data[[#This Row],[Check (1)]]="YES",Mass_Data[[#This Row],[MDL axle group 2 mass]],Mass_Data[[#This Row],[MDL axle group 2 mass]]-(Mass_Data[[#This Row],[Difference between MDL and GCM]]*(Mass_Data[[#This Row],[MDL axle group 2 mass]]/Mass_Data[[#This Row],[Total (1)]]))),"")</f>
        <v>16.41990291262136</v>
      </c>
      <c r="AE206" s="22">
        <f>IFERROR(IF(Mass_Data[[#This Row],[Check (1)]]="YES",Mass_Data[[#This Row],[MDL axle group 3 mass]],Mass_Data[[#This Row],[MDL axle group 3 mass]]-(Mass_Data[[#This Row],[Difference between MDL and GCM]]*(Mass_Data[[#This Row],[MDL axle group 3 mass]]/Mass_Data[[#This Row],[Total (1)]]))),"")</f>
        <v>19.902912621359224</v>
      </c>
      <c r="AF206" s="22">
        <f>IFERROR(IF(Mass_Data[[#This Row],[Check (1)]]="YES",Mass_Data[[#This Row],[MDL axle group 4 mass]],Mass_Data[[#This Row],[MDL axle group 4 mass]]-(Mass_Data[[#This Row],[Difference between MDL and GCM]]*(Mass_Data[[#This Row],[MDL axle group 4 mass]]/Mass_Data[[#This Row],[Total (1)]]))),"")</f>
        <v>19.902912621359224</v>
      </c>
      <c r="AG206" s="22">
        <f>IFERROR(IF(Mass_Data[[#This Row],[Check (1)]]="YES",Mass_Data[[#This Row],[MDL axle group 5 mass]],Mass_Data[[#This Row],[MDL axle group 5 mass]]-(Mass_Data[[#This Row],[Difference between MDL and GCM]]*(Mass_Data[[#This Row],[MDL axle group 5 mass]]/Mass_Data[[#This Row],[Total (1)]]))),"")</f>
        <v>19.902912621359224</v>
      </c>
      <c r="AH206" s="22">
        <f>IFERROR(IF(Mass_Data[[#This Row],[Check (1)]]="YES",Mass_Data[[#This Row],[MDL axle group 6 mass]],Mass_Data[[#This Row],[MDL axle group 6 mass]]-(Mass_Data[[#This Row],[Difference between MDL and GCM]]*(Mass_Data[[#This Row],[MDL axle group 6 mass]]/Mass_Data[[#This Row],[Total (1)]]))),"")</f>
        <v>19.902912621359224</v>
      </c>
      <c r="AI206" s="22" t="str">
        <f>IFERROR(IF(Mass_Data[[#This Row],[Check (1)]]="YES",Mass_Data[[#This Row],[MDL axle group 7 mass]],Mass_Data[[#This Row],[MDL axle group 7 mass]]-(Mass_Data[[#This Row],[Difference between MDL and GCM]]*(Mass_Data[[#This Row],[MDL axle group 7 mass]]/Mass_Data[[#This Row],[Total (1)]]))),"")</f>
        <v/>
      </c>
      <c r="AJ206" s="81">
        <f>SUM(Mass_Data[[#This Row],[Corrected axle group 1 mass]:[Corrected axle group 7 mass]])</f>
        <v>102.5</v>
      </c>
      <c r="AK206">
        <f>Mass_Data[[#This Row],[Total (2)]]-Mass_Data[[#This Row],[GCM (t)]]</f>
        <v>0</v>
      </c>
      <c r="AL206" s="22" t="str">
        <f>IF(Mass_Data[[#This Row],[Difference between MDL and corrected axle masses]]=0,"YES","NO")</f>
        <v>YES</v>
      </c>
    </row>
    <row r="207" spans="3:38" x14ac:dyDescent="0.35">
      <c r="C207" s="10" t="str">
        <f t="shared" si="3"/>
        <v>Conventional - 15-Axle AB-Triple (CML)</v>
      </c>
      <c r="D207" s="10" t="s">
        <v>166</v>
      </c>
      <c r="E207" s="10" t="s">
        <v>220</v>
      </c>
      <c r="F207" s="12" t="s">
        <v>20</v>
      </c>
      <c r="G207" s="11" t="s">
        <v>202</v>
      </c>
      <c r="H207" t="s">
        <v>71</v>
      </c>
      <c r="I207" s="9">
        <v>104.5</v>
      </c>
      <c r="J207" s="14">
        <v>67.099606692246198</v>
      </c>
      <c r="K207" s="14">
        <f>Mass_Data[[#This Row],[GCM (t)]]-Mass_Data[[#This Row],[Payload (t)]]</f>
        <v>37.400393307753802</v>
      </c>
      <c r="L207" t="s">
        <v>8</v>
      </c>
      <c r="M207" t="s">
        <v>9</v>
      </c>
      <c r="N207" t="s">
        <v>10</v>
      </c>
      <c r="O207" t="s">
        <v>10</v>
      </c>
      <c r="P207" t="s">
        <v>10</v>
      </c>
      <c r="Q207" t="s">
        <v>10</v>
      </c>
      <c r="R207">
        <v>0</v>
      </c>
      <c r="S207" cm="1">
        <f t="array" ref="S207">_xlfn.XLOOKUP(Mass_Data[[#This Row],[axle group 1]]&amp;Mass_Data[[#This Row],[Mass Scheme]],Axle_Data[Axle Code]&amp;Axle_Data[Mass Scheme],Axle_Data[MDL Maximum Mass (t)],"",0)</f>
        <v>6.5</v>
      </c>
      <c r="T207" cm="1">
        <f t="array" ref="T207">_xlfn.XLOOKUP(Mass_Data[[#This Row],[axle group 2]]&amp;Mass_Data[[#This Row],[Mass Scheme]],Axle_Data[Axle Code]&amp;Axle_Data[Mass Scheme],Axle_Data[MDL Maximum Mass (t)],"",0)</f>
        <v>17</v>
      </c>
      <c r="U207" cm="1">
        <f t="array" ref="U207">_xlfn.XLOOKUP(Mass_Data[[#This Row],[axle group 3]]&amp;Mass_Data[[#This Row],[Mass Scheme]],Axle_Data[Axle Code]&amp;Axle_Data[Mass Scheme],Axle_Data[MDL Maximum Mass (t)],"",0)</f>
        <v>21</v>
      </c>
      <c r="V207" cm="1">
        <f t="array" ref="V207">_xlfn.XLOOKUP(Mass_Data[[#This Row],[axle group 4]]&amp;Mass_Data[[#This Row],[Mass Scheme]],Axle_Data[Axle Code]&amp;Axle_Data[Mass Scheme],Axle_Data[MDL Maximum Mass (t)],"",0)</f>
        <v>21</v>
      </c>
      <c r="W207" cm="1">
        <f t="array" ref="W207">_xlfn.XLOOKUP(Mass_Data[[#This Row],[axle group 5]]&amp;Mass_Data[[#This Row],[Mass Scheme]],Axle_Data[Axle Code]&amp;Axle_Data[Mass Scheme],Axle_Data[MDL Maximum Mass (t)],"",0)</f>
        <v>21</v>
      </c>
      <c r="X207" cm="1">
        <f t="array" ref="X207">_xlfn.XLOOKUP(Mass_Data[[#This Row],[axle group 6]]&amp;Mass_Data[[#This Row],[Mass Scheme]],Axle_Data[Axle Code]&amp;Axle_Data[Mass Scheme],Axle_Data[MDL Maximum Mass (t)],"",0)</f>
        <v>21</v>
      </c>
      <c r="Y207" t="str" cm="1">
        <f t="array" ref="Y207">_xlfn.XLOOKUP(Mass_Data[[#This Row],[axle group 7]]&amp;Mass_Data[[#This Row],[Mass Scheme]],Axle_Data[Axle Code]&amp;Axle_Data[Mass Scheme],Axle_Data[MDL Maximum Mass (t)],"",0)</f>
        <v/>
      </c>
      <c r="Z207" s="81">
        <f>SUM(Mass_Data[[#This Row],[MDL axle group 1 mass]:[MDL axle group 7 mass]])</f>
        <v>107.5</v>
      </c>
      <c r="AA207">
        <f>Mass_Data[[#This Row],[Total (1)]]-Mass_Data[[#This Row],[GCM (t)]]</f>
        <v>3</v>
      </c>
      <c r="AB207" t="str">
        <f>IF(Mass_Data[[#This Row],[Difference between MDL and GCM]]=0,"YES","NO")</f>
        <v>NO</v>
      </c>
      <c r="AC207" s="22">
        <f>IFERROR(IF(Mass_Data[[#This Row],[Check (1)]]="YES",Mass_Data[[#This Row],[MDL axle group 1 mass]],Mass_Data[[#This Row],[MDL axle group 1 mass]]-(Mass_Data[[#This Row],[Difference between MDL and GCM]]*(Mass_Data[[#This Row],[MDL axle group 1 mass]]/Mass_Data[[#This Row],[Total (1)]]))),"")</f>
        <v>6.3186046511627909</v>
      </c>
      <c r="AD207" s="22">
        <f>IFERROR(IF(Mass_Data[[#This Row],[Check (1)]]="YES",Mass_Data[[#This Row],[MDL axle group 2 mass]],Mass_Data[[#This Row],[MDL axle group 2 mass]]-(Mass_Data[[#This Row],[Difference between MDL and GCM]]*(Mass_Data[[#This Row],[MDL axle group 2 mass]]/Mass_Data[[#This Row],[Total (1)]]))),"")</f>
        <v>16.525581395348837</v>
      </c>
      <c r="AE207" s="22">
        <f>IFERROR(IF(Mass_Data[[#This Row],[Check (1)]]="YES",Mass_Data[[#This Row],[MDL axle group 3 mass]],Mass_Data[[#This Row],[MDL axle group 3 mass]]-(Mass_Data[[#This Row],[Difference between MDL and GCM]]*(Mass_Data[[#This Row],[MDL axle group 3 mass]]/Mass_Data[[#This Row],[Total (1)]]))),"")</f>
        <v>20.413953488372094</v>
      </c>
      <c r="AF207" s="22">
        <f>IFERROR(IF(Mass_Data[[#This Row],[Check (1)]]="YES",Mass_Data[[#This Row],[MDL axle group 4 mass]],Mass_Data[[#This Row],[MDL axle group 4 mass]]-(Mass_Data[[#This Row],[Difference between MDL and GCM]]*(Mass_Data[[#This Row],[MDL axle group 4 mass]]/Mass_Data[[#This Row],[Total (1)]]))),"")</f>
        <v>20.413953488372094</v>
      </c>
      <c r="AG207" s="22">
        <f>IFERROR(IF(Mass_Data[[#This Row],[Check (1)]]="YES",Mass_Data[[#This Row],[MDL axle group 5 mass]],Mass_Data[[#This Row],[MDL axle group 5 mass]]-(Mass_Data[[#This Row],[Difference between MDL and GCM]]*(Mass_Data[[#This Row],[MDL axle group 5 mass]]/Mass_Data[[#This Row],[Total (1)]]))),"")</f>
        <v>20.413953488372094</v>
      </c>
      <c r="AH207" s="22">
        <f>IFERROR(IF(Mass_Data[[#This Row],[Check (1)]]="YES",Mass_Data[[#This Row],[MDL axle group 6 mass]],Mass_Data[[#This Row],[MDL axle group 6 mass]]-(Mass_Data[[#This Row],[Difference between MDL and GCM]]*(Mass_Data[[#This Row],[MDL axle group 6 mass]]/Mass_Data[[#This Row],[Total (1)]]))),"")</f>
        <v>20.413953488372094</v>
      </c>
      <c r="AI207" s="22" t="str">
        <f>IFERROR(IF(Mass_Data[[#This Row],[Check (1)]]="YES",Mass_Data[[#This Row],[MDL axle group 7 mass]],Mass_Data[[#This Row],[MDL axle group 7 mass]]-(Mass_Data[[#This Row],[Difference between MDL and GCM]]*(Mass_Data[[#This Row],[MDL axle group 7 mass]]/Mass_Data[[#This Row],[Total (1)]]))),"")</f>
        <v/>
      </c>
      <c r="AJ207" s="81">
        <f>SUM(Mass_Data[[#This Row],[Corrected axle group 1 mass]:[Corrected axle group 7 mass]])</f>
        <v>104.5</v>
      </c>
      <c r="AK207">
        <f>Mass_Data[[#This Row],[Total (2)]]-Mass_Data[[#This Row],[GCM (t)]]</f>
        <v>0</v>
      </c>
      <c r="AL207" s="22" t="str">
        <f>IF(Mass_Data[[#This Row],[Difference between MDL and corrected axle masses]]=0,"YES","NO")</f>
        <v>YES</v>
      </c>
    </row>
    <row r="208" spans="3:38" x14ac:dyDescent="0.35">
      <c r="C208" s="10" t="str">
        <f t="shared" si="3"/>
        <v>Conventional - 15-Axle AB-Triple (HML)</v>
      </c>
      <c r="D208" s="10" t="s">
        <v>166</v>
      </c>
      <c r="E208" s="10" t="s">
        <v>220</v>
      </c>
      <c r="F208" s="12" t="s">
        <v>7</v>
      </c>
      <c r="G208" s="11" t="s">
        <v>202</v>
      </c>
      <c r="H208" t="s">
        <v>71</v>
      </c>
      <c r="I208" s="9">
        <v>113.5</v>
      </c>
      <c r="J208" s="14">
        <v>76.099606692246198</v>
      </c>
      <c r="K208" s="14">
        <f>Mass_Data[[#This Row],[GCM (t)]]-Mass_Data[[#This Row],[Payload (t)]]</f>
        <v>37.400393307753802</v>
      </c>
      <c r="L208" t="s">
        <v>8</v>
      </c>
      <c r="M208" t="s">
        <v>9</v>
      </c>
      <c r="N208" t="s">
        <v>10</v>
      </c>
      <c r="O208" t="s">
        <v>10</v>
      </c>
      <c r="P208" t="s">
        <v>10</v>
      </c>
      <c r="Q208" t="s">
        <v>10</v>
      </c>
      <c r="R208">
        <v>0</v>
      </c>
      <c r="S208" cm="1">
        <f t="array" ref="S208">_xlfn.XLOOKUP(Mass_Data[[#This Row],[axle group 1]]&amp;Mass_Data[[#This Row],[Mass Scheme]],Axle_Data[Axle Code]&amp;Axle_Data[Mass Scheme],Axle_Data[MDL Maximum Mass (t)],"",0)</f>
        <v>6.5</v>
      </c>
      <c r="T208" cm="1">
        <f t="array" ref="T208">_xlfn.XLOOKUP(Mass_Data[[#This Row],[axle group 2]]&amp;Mass_Data[[#This Row],[Mass Scheme]],Axle_Data[Axle Code]&amp;Axle_Data[Mass Scheme],Axle_Data[MDL Maximum Mass (t)],"",0)</f>
        <v>17</v>
      </c>
      <c r="U208" cm="1">
        <f t="array" ref="U208">_xlfn.XLOOKUP(Mass_Data[[#This Row],[axle group 3]]&amp;Mass_Data[[#This Row],[Mass Scheme]],Axle_Data[Axle Code]&amp;Axle_Data[Mass Scheme],Axle_Data[MDL Maximum Mass (t)],"",0)</f>
        <v>22.5</v>
      </c>
      <c r="V208" cm="1">
        <f t="array" ref="V208">_xlfn.XLOOKUP(Mass_Data[[#This Row],[axle group 4]]&amp;Mass_Data[[#This Row],[Mass Scheme]],Axle_Data[Axle Code]&amp;Axle_Data[Mass Scheme],Axle_Data[MDL Maximum Mass (t)],"",0)</f>
        <v>22.5</v>
      </c>
      <c r="W208" cm="1">
        <f t="array" ref="W208">_xlfn.XLOOKUP(Mass_Data[[#This Row],[axle group 5]]&amp;Mass_Data[[#This Row],[Mass Scheme]],Axle_Data[Axle Code]&amp;Axle_Data[Mass Scheme],Axle_Data[MDL Maximum Mass (t)],"",0)</f>
        <v>22.5</v>
      </c>
      <c r="X208" cm="1">
        <f t="array" ref="X208">_xlfn.XLOOKUP(Mass_Data[[#This Row],[axle group 6]]&amp;Mass_Data[[#This Row],[Mass Scheme]],Axle_Data[Axle Code]&amp;Axle_Data[Mass Scheme],Axle_Data[MDL Maximum Mass (t)],"",0)</f>
        <v>22.5</v>
      </c>
      <c r="Y208" t="str" cm="1">
        <f t="array" ref="Y208">_xlfn.XLOOKUP(Mass_Data[[#This Row],[axle group 7]]&amp;Mass_Data[[#This Row],[Mass Scheme]],Axle_Data[Axle Code]&amp;Axle_Data[Mass Scheme],Axle_Data[MDL Maximum Mass (t)],"",0)</f>
        <v/>
      </c>
      <c r="Z208" s="81">
        <f>SUM(Mass_Data[[#This Row],[MDL axle group 1 mass]:[MDL axle group 7 mass]])</f>
        <v>113.5</v>
      </c>
      <c r="AA208">
        <f>Mass_Data[[#This Row],[Total (1)]]-Mass_Data[[#This Row],[GCM (t)]]</f>
        <v>0</v>
      </c>
      <c r="AB208" t="str">
        <f>IF(Mass_Data[[#This Row],[Difference between MDL and GCM]]=0,"YES","NO")</f>
        <v>YES</v>
      </c>
      <c r="AC208" s="22">
        <f>IFERROR(IF(Mass_Data[[#This Row],[Check (1)]]="YES",Mass_Data[[#This Row],[MDL axle group 1 mass]],Mass_Data[[#This Row],[MDL axle group 1 mass]]-(Mass_Data[[#This Row],[Difference between MDL and GCM]]*(Mass_Data[[#This Row],[MDL axle group 1 mass]]/Mass_Data[[#This Row],[Total (1)]]))),"")</f>
        <v>6.5</v>
      </c>
      <c r="AD208" s="22">
        <f>IFERROR(IF(Mass_Data[[#This Row],[Check (1)]]="YES",Mass_Data[[#This Row],[MDL axle group 2 mass]],Mass_Data[[#This Row],[MDL axle group 2 mass]]-(Mass_Data[[#This Row],[Difference between MDL and GCM]]*(Mass_Data[[#This Row],[MDL axle group 2 mass]]/Mass_Data[[#This Row],[Total (1)]]))),"")</f>
        <v>17</v>
      </c>
      <c r="AE208" s="22">
        <f>IFERROR(IF(Mass_Data[[#This Row],[Check (1)]]="YES",Mass_Data[[#This Row],[MDL axle group 3 mass]],Mass_Data[[#This Row],[MDL axle group 3 mass]]-(Mass_Data[[#This Row],[Difference between MDL and GCM]]*(Mass_Data[[#This Row],[MDL axle group 3 mass]]/Mass_Data[[#This Row],[Total (1)]]))),"")</f>
        <v>22.5</v>
      </c>
      <c r="AF208" s="22">
        <f>IFERROR(IF(Mass_Data[[#This Row],[Check (1)]]="YES",Mass_Data[[#This Row],[MDL axle group 4 mass]],Mass_Data[[#This Row],[MDL axle group 4 mass]]-(Mass_Data[[#This Row],[Difference between MDL and GCM]]*(Mass_Data[[#This Row],[MDL axle group 4 mass]]/Mass_Data[[#This Row],[Total (1)]]))),"")</f>
        <v>22.5</v>
      </c>
      <c r="AG208" s="22">
        <f>IFERROR(IF(Mass_Data[[#This Row],[Check (1)]]="YES",Mass_Data[[#This Row],[MDL axle group 5 mass]],Mass_Data[[#This Row],[MDL axle group 5 mass]]-(Mass_Data[[#This Row],[Difference between MDL and GCM]]*(Mass_Data[[#This Row],[MDL axle group 5 mass]]/Mass_Data[[#This Row],[Total (1)]]))),"")</f>
        <v>22.5</v>
      </c>
      <c r="AH208" s="22">
        <f>IFERROR(IF(Mass_Data[[#This Row],[Check (1)]]="YES",Mass_Data[[#This Row],[MDL axle group 6 mass]],Mass_Data[[#This Row],[MDL axle group 6 mass]]-(Mass_Data[[#This Row],[Difference between MDL and GCM]]*(Mass_Data[[#This Row],[MDL axle group 6 mass]]/Mass_Data[[#This Row],[Total (1)]]))),"")</f>
        <v>22.5</v>
      </c>
      <c r="AI208" s="22" t="str">
        <f>IFERROR(IF(Mass_Data[[#This Row],[Check (1)]]="YES",Mass_Data[[#This Row],[MDL axle group 7 mass]],Mass_Data[[#This Row],[MDL axle group 7 mass]]-(Mass_Data[[#This Row],[Difference between MDL and GCM]]*(Mass_Data[[#This Row],[MDL axle group 7 mass]]/Mass_Data[[#This Row],[Total (1)]]))),"")</f>
        <v/>
      </c>
      <c r="AJ208" s="81">
        <f>SUM(Mass_Data[[#This Row],[Corrected axle group 1 mass]:[Corrected axle group 7 mass]])</f>
        <v>113.5</v>
      </c>
      <c r="AK208">
        <f>Mass_Data[[#This Row],[Total (2)]]-Mass_Data[[#This Row],[GCM (t)]]</f>
        <v>0</v>
      </c>
      <c r="AL208" s="22" t="str">
        <f>IF(Mass_Data[[#This Row],[Difference between MDL and corrected axle masses]]=0,"YES","NO")</f>
        <v>YES</v>
      </c>
    </row>
    <row r="209" spans="3:38" x14ac:dyDescent="0.35">
      <c r="C209" s="10" t="str">
        <f t="shared" si="3"/>
        <v>Conventional - 13-Axle Rigid Truck and 2 Dog Trailers (GML)</v>
      </c>
      <c r="D209" s="10" t="s">
        <v>159</v>
      </c>
      <c r="E209" s="10" t="s">
        <v>220</v>
      </c>
      <c r="F209" s="12" t="s">
        <v>18</v>
      </c>
      <c r="G209" s="11" t="s">
        <v>202</v>
      </c>
      <c r="H209" t="s">
        <v>141</v>
      </c>
      <c r="I209" s="9">
        <v>95.5</v>
      </c>
      <c r="J209" s="14">
        <v>68.843860465116279</v>
      </c>
      <c r="K209" s="14">
        <f>Mass_Data[[#This Row],[GCM (t)]]-Mass_Data[[#This Row],[Payload (t)]]</f>
        <v>26.656139534883721</v>
      </c>
      <c r="L209" t="s">
        <v>8</v>
      </c>
      <c r="M209" t="s">
        <v>9</v>
      </c>
      <c r="N209" t="s">
        <v>30</v>
      </c>
      <c r="O209" t="s">
        <v>10</v>
      </c>
      <c r="P209" t="s">
        <v>30</v>
      </c>
      <c r="Q209" t="s">
        <v>10</v>
      </c>
      <c r="R209">
        <v>0</v>
      </c>
      <c r="S209" cm="1">
        <f t="array" ref="S209">_xlfn.XLOOKUP(Mass_Data[[#This Row],[axle group 1]]&amp;Mass_Data[[#This Row],[Mass Scheme]],Axle_Data[Axle Code]&amp;Axle_Data[Mass Scheme],Axle_Data[MDL Maximum Mass (t)],"",0)</f>
        <v>6.5</v>
      </c>
      <c r="T209" cm="1">
        <f t="array" ref="T209">_xlfn.XLOOKUP(Mass_Data[[#This Row],[axle group 2]]&amp;Mass_Data[[#This Row],[Mass Scheme]],Axle_Data[Axle Code]&amp;Axle_Data[Mass Scheme],Axle_Data[MDL Maximum Mass (t)],"",0)</f>
        <v>16.5</v>
      </c>
      <c r="U209" cm="1">
        <f t="array" ref="U209">_xlfn.XLOOKUP(Mass_Data[[#This Row],[axle group 3]]&amp;Mass_Data[[#This Row],[Mass Scheme]],Axle_Data[Axle Code]&amp;Axle_Data[Mass Scheme],Axle_Data[MDL Maximum Mass (t)],"",0)</f>
        <v>16.5</v>
      </c>
      <c r="V209" cm="1">
        <f t="array" ref="V209">_xlfn.XLOOKUP(Mass_Data[[#This Row],[axle group 4]]&amp;Mass_Data[[#This Row],[Mass Scheme]],Axle_Data[Axle Code]&amp;Axle_Data[Mass Scheme],Axle_Data[MDL Maximum Mass (t)],"",0)</f>
        <v>20</v>
      </c>
      <c r="W209" cm="1">
        <f t="array" ref="W209">_xlfn.XLOOKUP(Mass_Data[[#This Row],[axle group 5]]&amp;Mass_Data[[#This Row],[Mass Scheme]],Axle_Data[Axle Code]&amp;Axle_Data[Mass Scheme],Axle_Data[MDL Maximum Mass (t)],"",0)</f>
        <v>16.5</v>
      </c>
      <c r="X209" cm="1">
        <f t="array" ref="X209">_xlfn.XLOOKUP(Mass_Data[[#This Row],[axle group 6]]&amp;Mass_Data[[#This Row],[Mass Scheme]],Axle_Data[Axle Code]&amp;Axle_Data[Mass Scheme],Axle_Data[MDL Maximum Mass (t)],"",0)</f>
        <v>20</v>
      </c>
      <c r="Y209" t="str" cm="1">
        <f t="array" ref="Y209">_xlfn.XLOOKUP(Mass_Data[[#This Row],[axle group 7]]&amp;Mass_Data[[#This Row],[Mass Scheme]],Axle_Data[Axle Code]&amp;Axle_Data[Mass Scheme],Axle_Data[MDL Maximum Mass (t)],"",0)</f>
        <v/>
      </c>
      <c r="Z209" s="81">
        <f>SUM(Mass_Data[[#This Row],[MDL axle group 1 mass]:[MDL axle group 7 mass]])</f>
        <v>96</v>
      </c>
      <c r="AA209">
        <f>Mass_Data[[#This Row],[Total (1)]]-Mass_Data[[#This Row],[GCM (t)]]</f>
        <v>0.5</v>
      </c>
      <c r="AB209" t="str">
        <f>IF(Mass_Data[[#This Row],[Difference between MDL and GCM]]=0,"YES","NO")</f>
        <v>NO</v>
      </c>
      <c r="AC209" s="22">
        <f>IFERROR(IF(Mass_Data[[#This Row],[Check (1)]]="YES",Mass_Data[[#This Row],[MDL axle group 1 mass]],Mass_Data[[#This Row],[MDL axle group 1 mass]]-(Mass_Data[[#This Row],[Difference between MDL and GCM]]*(Mass_Data[[#This Row],[MDL axle group 1 mass]]/Mass_Data[[#This Row],[Total (1)]]))),"")</f>
        <v>6.466145833333333</v>
      </c>
      <c r="AD209" s="22">
        <f>IFERROR(IF(Mass_Data[[#This Row],[Check (1)]]="YES",Mass_Data[[#This Row],[MDL axle group 2 mass]],Mass_Data[[#This Row],[MDL axle group 2 mass]]-(Mass_Data[[#This Row],[Difference between MDL and GCM]]*(Mass_Data[[#This Row],[MDL axle group 2 mass]]/Mass_Data[[#This Row],[Total (1)]]))),"")</f>
        <v>16.4140625</v>
      </c>
      <c r="AE209" s="22">
        <f>IFERROR(IF(Mass_Data[[#This Row],[Check (1)]]="YES",Mass_Data[[#This Row],[MDL axle group 3 mass]],Mass_Data[[#This Row],[MDL axle group 3 mass]]-(Mass_Data[[#This Row],[Difference between MDL and GCM]]*(Mass_Data[[#This Row],[MDL axle group 3 mass]]/Mass_Data[[#This Row],[Total (1)]]))),"")</f>
        <v>16.4140625</v>
      </c>
      <c r="AF209" s="22">
        <f>IFERROR(IF(Mass_Data[[#This Row],[Check (1)]]="YES",Mass_Data[[#This Row],[MDL axle group 4 mass]],Mass_Data[[#This Row],[MDL axle group 4 mass]]-(Mass_Data[[#This Row],[Difference between MDL and GCM]]*(Mass_Data[[#This Row],[MDL axle group 4 mass]]/Mass_Data[[#This Row],[Total (1)]]))),"")</f>
        <v>19.895833333333332</v>
      </c>
      <c r="AG209" s="22">
        <f>IFERROR(IF(Mass_Data[[#This Row],[Check (1)]]="YES",Mass_Data[[#This Row],[MDL axle group 5 mass]],Mass_Data[[#This Row],[MDL axle group 5 mass]]-(Mass_Data[[#This Row],[Difference between MDL and GCM]]*(Mass_Data[[#This Row],[MDL axle group 5 mass]]/Mass_Data[[#This Row],[Total (1)]]))),"")</f>
        <v>16.4140625</v>
      </c>
      <c r="AH209" s="22">
        <f>IFERROR(IF(Mass_Data[[#This Row],[Check (1)]]="YES",Mass_Data[[#This Row],[MDL axle group 6 mass]],Mass_Data[[#This Row],[MDL axle group 6 mass]]-(Mass_Data[[#This Row],[Difference between MDL and GCM]]*(Mass_Data[[#This Row],[MDL axle group 6 mass]]/Mass_Data[[#This Row],[Total (1)]]))),"")</f>
        <v>19.895833333333332</v>
      </c>
      <c r="AI209" s="22" t="str">
        <f>IFERROR(IF(Mass_Data[[#This Row],[Check (1)]]="YES",Mass_Data[[#This Row],[MDL axle group 7 mass]],Mass_Data[[#This Row],[MDL axle group 7 mass]]-(Mass_Data[[#This Row],[Difference between MDL and GCM]]*(Mass_Data[[#This Row],[MDL axle group 7 mass]]/Mass_Data[[#This Row],[Total (1)]]))),"")</f>
        <v/>
      </c>
      <c r="AJ209" s="81">
        <f>SUM(Mass_Data[[#This Row],[Corrected axle group 1 mass]:[Corrected axle group 7 mass]])</f>
        <v>95.499999999999986</v>
      </c>
      <c r="AK209">
        <f>Mass_Data[[#This Row],[Total (2)]]-Mass_Data[[#This Row],[GCM (t)]]</f>
        <v>0</v>
      </c>
      <c r="AL209" s="22" t="str">
        <f>IF(Mass_Data[[#This Row],[Difference between MDL and corrected axle masses]]=0,"YES","NO")</f>
        <v>YES</v>
      </c>
    </row>
    <row r="210" spans="3:38" x14ac:dyDescent="0.35">
      <c r="C210" s="10" t="str">
        <f t="shared" si="3"/>
        <v>Conventional - 13-Axle Rigid Truck and 2 Dog Trailers (CML)</v>
      </c>
      <c r="D210" s="10" t="s">
        <v>159</v>
      </c>
      <c r="E210" s="10" t="s">
        <v>220</v>
      </c>
      <c r="F210" s="12" t="s">
        <v>20</v>
      </c>
      <c r="G210" s="11" t="s">
        <v>202</v>
      </c>
      <c r="H210" t="s">
        <v>141</v>
      </c>
      <c r="I210" s="9">
        <v>97.5</v>
      </c>
      <c r="J210" s="14">
        <v>70.843860465116279</v>
      </c>
      <c r="K210" s="14">
        <f>Mass_Data[[#This Row],[GCM (t)]]-Mass_Data[[#This Row],[Payload (t)]]</f>
        <v>26.656139534883721</v>
      </c>
      <c r="L210" t="s">
        <v>8</v>
      </c>
      <c r="M210" t="s">
        <v>9</v>
      </c>
      <c r="N210" t="s">
        <v>30</v>
      </c>
      <c r="O210" t="s">
        <v>10</v>
      </c>
      <c r="P210" t="s">
        <v>30</v>
      </c>
      <c r="Q210" t="s">
        <v>10</v>
      </c>
      <c r="R210">
        <v>0</v>
      </c>
      <c r="S210" cm="1">
        <f t="array" ref="S210">_xlfn.XLOOKUP(Mass_Data[[#This Row],[axle group 1]]&amp;Mass_Data[[#This Row],[Mass Scheme]],Axle_Data[Axle Code]&amp;Axle_Data[Mass Scheme],Axle_Data[MDL Maximum Mass (t)],"",0)</f>
        <v>6.5</v>
      </c>
      <c r="T210" cm="1">
        <f t="array" ref="T210">_xlfn.XLOOKUP(Mass_Data[[#This Row],[axle group 2]]&amp;Mass_Data[[#This Row],[Mass Scheme]],Axle_Data[Axle Code]&amp;Axle_Data[Mass Scheme],Axle_Data[MDL Maximum Mass (t)],"",0)</f>
        <v>17</v>
      </c>
      <c r="U210" cm="1">
        <f t="array" ref="U210">_xlfn.XLOOKUP(Mass_Data[[#This Row],[axle group 3]]&amp;Mass_Data[[#This Row],[Mass Scheme]],Axle_Data[Axle Code]&amp;Axle_Data[Mass Scheme],Axle_Data[MDL Maximum Mass (t)],"",0)</f>
        <v>17</v>
      </c>
      <c r="V210" cm="1">
        <f t="array" ref="V210">_xlfn.XLOOKUP(Mass_Data[[#This Row],[axle group 4]]&amp;Mass_Data[[#This Row],[Mass Scheme]],Axle_Data[Axle Code]&amp;Axle_Data[Mass Scheme],Axle_Data[MDL Maximum Mass (t)],"",0)</f>
        <v>21</v>
      </c>
      <c r="W210" cm="1">
        <f t="array" ref="W210">_xlfn.XLOOKUP(Mass_Data[[#This Row],[axle group 5]]&amp;Mass_Data[[#This Row],[Mass Scheme]],Axle_Data[Axle Code]&amp;Axle_Data[Mass Scheme],Axle_Data[MDL Maximum Mass (t)],"",0)</f>
        <v>17</v>
      </c>
      <c r="X210" cm="1">
        <f t="array" ref="X210">_xlfn.XLOOKUP(Mass_Data[[#This Row],[axle group 6]]&amp;Mass_Data[[#This Row],[Mass Scheme]],Axle_Data[Axle Code]&amp;Axle_Data[Mass Scheme],Axle_Data[MDL Maximum Mass (t)],"",0)</f>
        <v>21</v>
      </c>
      <c r="Y210" t="str" cm="1">
        <f t="array" ref="Y210">_xlfn.XLOOKUP(Mass_Data[[#This Row],[axle group 7]]&amp;Mass_Data[[#This Row],[Mass Scheme]],Axle_Data[Axle Code]&amp;Axle_Data[Mass Scheme],Axle_Data[MDL Maximum Mass (t)],"",0)</f>
        <v/>
      </c>
      <c r="Z210" s="81">
        <f>SUM(Mass_Data[[#This Row],[MDL axle group 1 mass]:[MDL axle group 7 mass]])</f>
        <v>99.5</v>
      </c>
      <c r="AA210">
        <f>Mass_Data[[#This Row],[Total (1)]]-Mass_Data[[#This Row],[GCM (t)]]</f>
        <v>2</v>
      </c>
      <c r="AB210" t="str">
        <f>IF(Mass_Data[[#This Row],[Difference between MDL and GCM]]=0,"YES","NO")</f>
        <v>NO</v>
      </c>
      <c r="AC210" s="22">
        <f>IFERROR(IF(Mass_Data[[#This Row],[Check (1)]]="YES",Mass_Data[[#This Row],[MDL axle group 1 mass]],Mass_Data[[#This Row],[MDL axle group 1 mass]]-(Mass_Data[[#This Row],[Difference between MDL and GCM]]*(Mass_Data[[#This Row],[MDL axle group 1 mass]]/Mass_Data[[#This Row],[Total (1)]]))),"")</f>
        <v>6.3693467336683414</v>
      </c>
      <c r="AD210" s="22">
        <f>IFERROR(IF(Mass_Data[[#This Row],[Check (1)]]="YES",Mass_Data[[#This Row],[MDL axle group 2 mass]],Mass_Data[[#This Row],[MDL axle group 2 mass]]-(Mass_Data[[#This Row],[Difference between MDL and GCM]]*(Mass_Data[[#This Row],[MDL axle group 2 mass]]/Mass_Data[[#This Row],[Total (1)]]))),"")</f>
        <v>16.658291457286431</v>
      </c>
      <c r="AE210" s="22">
        <f>IFERROR(IF(Mass_Data[[#This Row],[Check (1)]]="YES",Mass_Data[[#This Row],[MDL axle group 3 mass]],Mass_Data[[#This Row],[MDL axle group 3 mass]]-(Mass_Data[[#This Row],[Difference between MDL and GCM]]*(Mass_Data[[#This Row],[MDL axle group 3 mass]]/Mass_Data[[#This Row],[Total (1)]]))),"")</f>
        <v>16.658291457286431</v>
      </c>
      <c r="AF210" s="22">
        <f>IFERROR(IF(Mass_Data[[#This Row],[Check (1)]]="YES",Mass_Data[[#This Row],[MDL axle group 4 mass]],Mass_Data[[#This Row],[MDL axle group 4 mass]]-(Mass_Data[[#This Row],[Difference between MDL and GCM]]*(Mass_Data[[#This Row],[MDL axle group 4 mass]]/Mass_Data[[#This Row],[Total (1)]]))),"")</f>
        <v>20.577889447236181</v>
      </c>
      <c r="AG210" s="22">
        <f>IFERROR(IF(Mass_Data[[#This Row],[Check (1)]]="YES",Mass_Data[[#This Row],[MDL axle group 5 mass]],Mass_Data[[#This Row],[MDL axle group 5 mass]]-(Mass_Data[[#This Row],[Difference between MDL and GCM]]*(Mass_Data[[#This Row],[MDL axle group 5 mass]]/Mass_Data[[#This Row],[Total (1)]]))),"")</f>
        <v>16.658291457286431</v>
      </c>
      <c r="AH210" s="22">
        <f>IFERROR(IF(Mass_Data[[#This Row],[Check (1)]]="YES",Mass_Data[[#This Row],[MDL axle group 6 mass]],Mass_Data[[#This Row],[MDL axle group 6 mass]]-(Mass_Data[[#This Row],[Difference between MDL and GCM]]*(Mass_Data[[#This Row],[MDL axle group 6 mass]]/Mass_Data[[#This Row],[Total (1)]]))),"")</f>
        <v>20.577889447236181</v>
      </c>
      <c r="AI210" s="22" t="str">
        <f>IFERROR(IF(Mass_Data[[#This Row],[Check (1)]]="YES",Mass_Data[[#This Row],[MDL axle group 7 mass]],Mass_Data[[#This Row],[MDL axle group 7 mass]]-(Mass_Data[[#This Row],[Difference between MDL and GCM]]*(Mass_Data[[#This Row],[MDL axle group 7 mass]]/Mass_Data[[#This Row],[Total (1)]]))),"")</f>
        <v/>
      </c>
      <c r="AJ210" s="81">
        <f>SUM(Mass_Data[[#This Row],[Corrected axle group 1 mass]:[Corrected axle group 7 mass]])</f>
        <v>97.5</v>
      </c>
      <c r="AK210">
        <f>Mass_Data[[#This Row],[Total (2)]]-Mass_Data[[#This Row],[GCM (t)]]</f>
        <v>0</v>
      </c>
      <c r="AL210" s="22" t="str">
        <f>IF(Mass_Data[[#This Row],[Difference between MDL and corrected axle masses]]=0,"YES","NO")</f>
        <v>YES</v>
      </c>
    </row>
    <row r="211" spans="3:38" x14ac:dyDescent="0.35">
      <c r="C211" s="10" t="str">
        <f t="shared" si="3"/>
        <v>Conventional - 13-Axle Rigid Truck and 2 Dog Trailers (HML)</v>
      </c>
      <c r="D211" s="10" t="s">
        <v>159</v>
      </c>
      <c r="E211" s="10" t="s">
        <v>220</v>
      </c>
      <c r="F211" s="12" t="s">
        <v>7</v>
      </c>
      <c r="G211" s="11" t="s">
        <v>202</v>
      </c>
      <c r="H211" t="s">
        <v>141</v>
      </c>
      <c r="I211" s="9">
        <v>102</v>
      </c>
      <c r="J211" s="14">
        <v>75.343860465116279</v>
      </c>
      <c r="K211" s="14">
        <f>Mass_Data[[#This Row],[GCM (t)]]-Mass_Data[[#This Row],[Payload (t)]]</f>
        <v>26.656139534883721</v>
      </c>
      <c r="L211" t="s">
        <v>8</v>
      </c>
      <c r="M211" t="s">
        <v>9</v>
      </c>
      <c r="N211" t="s">
        <v>30</v>
      </c>
      <c r="O211" t="s">
        <v>10</v>
      </c>
      <c r="P211" t="s">
        <v>30</v>
      </c>
      <c r="Q211" t="s">
        <v>10</v>
      </c>
      <c r="R211">
        <v>0</v>
      </c>
      <c r="S211" cm="1">
        <f t="array" ref="S211">_xlfn.XLOOKUP(Mass_Data[[#This Row],[axle group 1]]&amp;Mass_Data[[#This Row],[Mass Scheme]],Axle_Data[Axle Code]&amp;Axle_Data[Mass Scheme],Axle_Data[MDL Maximum Mass (t)],"",0)</f>
        <v>6.5</v>
      </c>
      <c r="T211" cm="1">
        <f t="array" ref="T211">_xlfn.XLOOKUP(Mass_Data[[#This Row],[axle group 2]]&amp;Mass_Data[[#This Row],[Mass Scheme]],Axle_Data[Axle Code]&amp;Axle_Data[Mass Scheme],Axle_Data[MDL Maximum Mass (t)],"",0)</f>
        <v>17</v>
      </c>
      <c r="U211" cm="1">
        <f t="array" ref="U211">_xlfn.XLOOKUP(Mass_Data[[#This Row],[axle group 3]]&amp;Mass_Data[[#This Row],[Mass Scheme]],Axle_Data[Axle Code]&amp;Axle_Data[Mass Scheme],Axle_Data[MDL Maximum Mass (t)],"",0)</f>
        <v>17</v>
      </c>
      <c r="V211" cm="1">
        <f t="array" ref="V211">_xlfn.XLOOKUP(Mass_Data[[#This Row],[axle group 4]]&amp;Mass_Data[[#This Row],[Mass Scheme]],Axle_Data[Axle Code]&amp;Axle_Data[Mass Scheme],Axle_Data[MDL Maximum Mass (t)],"",0)</f>
        <v>22.5</v>
      </c>
      <c r="W211" cm="1">
        <f t="array" ref="W211">_xlfn.XLOOKUP(Mass_Data[[#This Row],[axle group 5]]&amp;Mass_Data[[#This Row],[Mass Scheme]],Axle_Data[Axle Code]&amp;Axle_Data[Mass Scheme],Axle_Data[MDL Maximum Mass (t)],"",0)</f>
        <v>17</v>
      </c>
      <c r="X211" cm="1">
        <f t="array" ref="X211">_xlfn.XLOOKUP(Mass_Data[[#This Row],[axle group 6]]&amp;Mass_Data[[#This Row],[Mass Scheme]],Axle_Data[Axle Code]&amp;Axle_Data[Mass Scheme],Axle_Data[MDL Maximum Mass (t)],"",0)</f>
        <v>22.5</v>
      </c>
      <c r="Y211" t="str" cm="1">
        <f t="array" ref="Y211">_xlfn.XLOOKUP(Mass_Data[[#This Row],[axle group 7]]&amp;Mass_Data[[#This Row],[Mass Scheme]],Axle_Data[Axle Code]&amp;Axle_Data[Mass Scheme],Axle_Data[MDL Maximum Mass (t)],"",0)</f>
        <v/>
      </c>
      <c r="Z211" s="81">
        <f>SUM(Mass_Data[[#This Row],[MDL axle group 1 mass]:[MDL axle group 7 mass]])</f>
        <v>102.5</v>
      </c>
      <c r="AA211">
        <f>Mass_Data[[#This Row],[Total (1)]]-Mass_Data[[#This Row],[GCM (t)]]</f>
        <v>0.5</v>
      </c>
      <c r="AB211" t="str">
        <f>IF(Mass_Data[[#This Row],[Difference between MDL and GCM]]=0,"YES","NO")</f>
        <v>NO</v>
      </c>
      <c r="AC211" s="22">
        <f>IFERROR(IF(Mass_Data[[#This Row],[Check (1)]]="YES",Mass_Data[[#This Row],[MDL axle group 1 mass]],Mass_Data[[#This Row],[MDL axle group 1 mass]]-(Mass_Data[[#This Row],[Difference between MDL and GCM]]*(Mass_Data[[#This Row],[MDL axle group 1 mass]]/Mass_Data[[#This Row],[Total (1)]]))),"")</f>
        <v>6.4682926829268297</v>
      </c>
      <c r="AD211" s="22">
        <f>IFERROR(IF(Mass_Data[[#This Row],[Check (1)]]="YES",Mass_Data[[#This Row],[MDL axle group 2 mass]],Mass_Data[[#This Row],[MDL axle group 2 mass]]-(Mass_Data[[#This Row],[Difference between MDL and GCM]]*(Mass_Data[[#This Row],[MDL axle group 2 mass]]/Mass_Data[[#This Row],[Total (1)]]))),"")</f>
        <v>16.917073170731708</v>
      </c>
      <c r="AE211" s="22">
        <f>IFERROR(IF(Mass_Data[[#This Row],[Check (1)]]="YES",Mass_Data[[#This Row],[MDL axle group 3 mass]],Mass_Data[[#This Row],[MDL axle group 3 mass]]-(Mass_Data[[#This Row],[Difference between MDL and GCM]]*(Mass_Data[[#This Row],[MDL axle group 3 mass]]/Mass_Data[[#This Row],[Total (1)]]))),"")</f>
        <v>16.917073170731708</v>
      </c>
      <c r="AF211" s="22">
        <f>IFERROR(IF(Mass_Data[[#This Row],[Check (1)]]="YES",Mass_Data[[#This Row],[MDL axle group 4 mass]],Mass_Data[[#This Row],[MDL axle group 4 mass]]-(Mass_Data[[#This Row],[Difference between MDL and GCM]]*(Mass_Data[[#This Row],[MDL axle group 4 mass]]/Mass_Data[[#This Row],[Total (1)]]))),"")</f>
        <v>22.390243902439025</v>
      </c>
      <c r="AG211" s="22">
        <f>IFERROR(IF(Mass_Data[[#This Row],[Check (1)]]="YES",Mass_Data[[#This Row],[MDL axle group 5 mass]],Mass_Data[[#This Row],[MDL axle group 5 mass]]-(Mass_Data[[#This Row],[Difference between MDL and GCM]]*(Mass_Data[[#This Row],[MDL axle group 5 mass]]/Mass_Data[[#This Row],[Total (1)]]))),"")</f>
        <v>16.917073170731708</v>
      </c>
      <c r="AH211" s="22">
        <f>IFERROR(IF(Mass_Data[[#This Row],[Check (1)]]="YES",Mass_Data[[#This Row],[MDL axle group 6 mass]],Mass_Data[[#This Row],[MDL axle group 6 mass]]-(Mass_Data[[#This Row],[Difference between MDL and GCM]]*(Mass_Data[[#This Row],[MDL axle group 6 mass]]/Mass_Data[[#This Row],[Total (1)]]))),"")</f>
        <v>22.390243902439025</v>
      </c>
      <c r="AI211" s="22" t="str">
        <f>IFERROR(IF(Mass_Data[[#This Row],[Check (1)]]="YES",Mass_Data[[#This Row],[MDL axle group 7 mass]],Mass_Data[[#This Row],[MDL axle group 7 mass]]-(Mass_Data[[#This Row],[Difference between MDL and GCM]]*(Mass_Data[[#This Row],[MDL axle group 7 mass]]/Mass_Data[[#This Row],[Total (1)]]))),"")</f>
        <v/>
      </c>
      <c r="AJ211" s="81">
        <f>SUM(Mass_Data[[#This Row],[Corrected axle group 1 mass]:[Corrected axle group 7 mass]])</f>
        <v>102</v>
      </c>
      <c r="AK211">
        <f>Mass_Data[[#This Row],[Total (2)]]-Mass_Data[[#This Row],[GCM (t)]]</f>
        <v>0</v>
      </c>
      <c r="AL211" s="22" t="str">
        <f>IF(Mass_Data[[#This Row],[Difference between MDL and corrected axle masses]]=0,"YES","NO")</f>
        <v>YES</v>
      </c>
    </row>
    <row r="212" spans="3:38" x14ac:dyDescent="0.35">
      <c r="C212" s="10" t="str">
        <f t="shared" si="3"/>
        <v>Conventional - 13-Axle Rigid Truck and 2 Dog Trailers (GML)</v>
      </c>
      <c r="D212" s="10" t="s">
        <v>159</v>
      </c>
      <c r="E212" s="10" t="s">
        <v>220</v>
      </c>
      <c r="F212" s="12" t="s">
        <v>18</v>
      </c>
      <c r="G212" s="11" t="s">
        <v>202</v>
      </c>
      <c r="H212" t="s">
        <v>141</v>
      </c>
      <c r="I212" s="9">
        <v>95.5</v>
      </c>
      <c r="J212" s="14">
        <v>68.843860465116279</v>
      </c>
      <c r="K212" s="14">
        <f>Mass_Data[[#This Row],[GCM (t)]]-Mass_Data[[#This Row],[Payload (t)]]</f>
        <v>26.656139534883721</v>
      </c>
      <c r="L212" t="s">
        <v>8</v>
      </c>
      <c r="M212" t="s">
        <v>9</v>
      </c>
      <c r="N212" t="s">
        <v>30</v>
      </c>
      <c r="O212" t="s">
        <v>10</v>
      </c>
      <c r="P212" t="s">
        <v>30</v>
      </c>
      <c r="Q212" t="s">
        <v>10</v>
      </c>
      <c r="R212">
        <v>0</v>
      </c>
      <c r="S212" cm="1">
        <f t="array" ref="S212">_xlfn.XLOOKUP(Mass_Data[[#This Row],[axle group 1]]&amp;Mass_Data[[#This Row],[Mass Scheme]],Axle_Data[Axle Code]&amp;Axle_Data[Mass Scheme],Axle_Data[MDL Maximum Mass (t)],"",0)</f>
        <v>6.5</v>
      </c>
      <c r="T212" cm="1">
        <f t="array" ref="T212">_xlfn.XLOOKUP(Mass_Data[[#This Row],[axle group 2]]&amp;Mass_Data[[#This Row],[Mass Scheme]],Axle_Data[Axle Code]&amp;Axle_Data[Mass Scheme],Axle_Data[MDL Maximum Mass (t)],"",0)</f>
        <v>16.5</v>
      </c>
      <c r="U212" cm="1">
        <f t="array" ref="U212">_xlfn.XLOOKUP(Mass_Data[[#This Row],[axle group 3]]&amp;Mass_Data[[#This Row],[Mass Scheme]],Axle_Data[Axle Code]&amp;Axle_Data[Mass Scheme],Axle_Data[MDL Maximum Mass (t)],"",0)</f>
        <v>16.5</v>
      </c>
      <c r="V212" cm="1">
        <f t="array" ref="V212">_xlfn.XLOOKUP(Mass_Data[[#This Row],[axle group 4]]&amp;Mass_Data[[#This Row],[Mass Scheme]],Axle_Data[Axle Code]&amp;Axle_Data[Mass Scheme],Axle_Data[MDL Maximum Mass (t)],"",0)</f>
        <v>20</v>
      </c>
      <c r="W212" cm="1">
        <f t="array" ref="W212">_xlfn.XLOOKUP(Mass_Data[[#This Row],[axle group 5]]&amp;Mass_Data[[#This Row],[Mass Scheme]],Axle_Data[Axle Code]&amp;Axle_Data[Mass Scheme],Axle_Data[MDL Maximum Mass (t)],"",0)</f>
        <v>16.5</v>
      </c>
      <c r="X212" cm="1">
        <f t="array" ref="X212">_xlfn.XLOOKUP(Mass_Data[[#This Row],[axle group 6]]&amp;Mass_Data[[#This Row],[Mass Scheme]],Axle_Data[Axle Code]&amp;Axle_Data[Mass Scheme],Axle_Data[MDL Maximum Mass (t)],"",0)</f>
        <v>20</v>
      </c>
      <c r="Y212" t="str" cm="1">
        <f t="array" ref="Y212">_xlfn.XLOOKUP(Mass_Data[[#This Row],[axle group 7]]&amp;Mass_Data[[#This Row],[Mass Scheme]],Axle_Data[Axle Code]&amp;Axle_Data[Mass Scheme],Axle_Data[MDL Maximum Mass (t)],"",0)</f>
        <v/>
      </c>
      <c r="Z212" s="81">
        <f>SUM(Mass_Data[[#This Row],[MDL axle group 1 mass]:[MDL axle group 7 mass]])</f>
        <v>96</v>
      </c>
      <c r="AA212">
        <f>Mass_Data[[#This Row],[Total (1)]]-Mass_Data[[#This Row],[GCM (t)]]</f>
        <v>0.5</v>
      </c>
      <c r="AB212" t="str">
        <f>IF(Mass_Data[[#This Row],[Difference between MDL and GCM]]=0,"YES","NO")</f>
        <v>NO</v>
      </c>
      <c r="AC212" s="22">
        <f>IFERROR(IF(Mass_Data[[#This Row],[Check (1)]]="YES",Mass_Data[[#This Row],[MDL axle group 1 mass]],Mass_Data[[#This Row],[MDL axle group 1 mass]]-(Mass_Data[[#This Row],[Difference between MDL and GCM]]*(Mass_Data[[#This Row],[MDL axle group 1 mass]]/Mass_Data[[#This Row],[Total (1)]]))),"")</f>
        <v>6.466145833333333</v>
      </c>
      <c r="AD212" s="22">
        <f>IFERROR(IF(Mass_Data[[#This Row],[Check (1)]]="YES",Mass_Data[[#This Row],[MDL axle group 2 mass]],Mass_Data[[#This Row],[MDL axle group 2 mass]]-(Mass_Data[[#This Row],[Difference between MDL and GCM]]*(Mass_Data[[#This Row],[MDL axle group 2 mass]]/Mass_Data[[#This Row],[Total (1)]]))),"")</f>
        <v>16.4140625</v>
      </c>
      <c r="AE212" s="22">
        <f>IFERROR(IF(Mass_Data[[#This Row],[Check (1)]]="YES",Mass_Data[[#This Row],[MDL axle group 3 mass]],Mass_Data[[#This Row],[MDL axle group 3 mass]]-(Mass_Data[[#This Row],[Difference between MDL and GCM]]*(Mass_Data[[#This Row],[MDL axle group 3 mass]]/Mass_Data[[#This Row],[Total (1)]]))),"")</f>
        <v>16.4140625</v>
      </c>
      <c r="AF212" s="22">
        <f>IFERROR(IF(Mass_Data[[#This Row],[Check (1)]]="YES",Mass_Data[[#This Row],[MDL axle group 4 mass]],Mass_Data[[#This Row],[MDL axle group 4 mass]]-(Mass_Data[[#This Row],[Difference between MDL and GCM]]*(Mass_Data[[#This Row],[MDL axle group 4 mass]]/Mass_Data[[#This Row],[Total (1)]]))),"")</f>
        <v>19.895833333333332</v>
      </c>
      <c r="AG212" s="22">
        <f>IFERROR(IF(Mass_Data[[#This Row],[Check (1)]]="YES",Mass_Data[[#This Row],[MDL axle group 5 mass]],Mass_Data[[#This Row],[MDL axle group 5 mass]]-(Mass_Data[[#This Row],[Difference between MDL and GCM]]*(Mass_Data[[#This Row],[MDL axle group 5 mass]]/Mass_Data[[#This Row],[Total (1)]]))),"")</f>
        <v>16.4140625</v>
      </c>
      <c r="AH212" s="22">
        <f>IFERROR(IF(Mass_Data[[#This Row],[Check (1)]]="YES",Mass_Data[[#This Row],[MDL axle group 6 mass]],Mass_Data[[#This Row],[MDL axle group 6 mass]]-(Mass_Data[[#This Row],[Difference between MDL and GCM]]*(Mass_Data[[#This Row],[MDL axle group 6 mass]]/Mass_Data[[#This Row],[Total (1)]]))),"")</f>
        <v>19.895833333333332</v>
      </c>
      <c r="AI212" s="22" t="str">
        <f>IFERROR(IF(Mass_Data[[#This Row],[Check (1)]]="YES",Mass_Data[[#This Row],[MDL axle group 7 mass]],Mass_Data[[#This Row],[MDL axle group 7 mass]]-(Mass_Data[[#This Row],[Difference between MDL and GCM]]*(Mass_Data[[#This Row],[MDL axle group 7 mass]]/Mass_Data[[#This Row],[Total (1)]]))),"")</f>
        <v/>
      </c>
      <c r="AJ212" s="81">
        <f>SUM(Mass_Data[[#This Row],[Corrected axle group 1 mass]:[Corrected axle group 7 mass]])</f>
        <v>95.499999999999986</v>
      </c>
      <c r="AK212">
        <f>Mass_Data[[#This Row],[Total (2)]]-Mass_Data[[#This Row],[GCM (t)]]</f>
        <v>0</v>
      </c>
      <c r="AL212" s="22" t="str">
        <f>IF(Mass_Data[[#This Row],[Difference between MDL and corrected axle masses]]=0,"YES","NO")</f>
        <v>YES</v>
      </c>
    </row>
    <row r="213" spans="3:38" x14ac:dyDescent="0.35">
      <c r="C213" s="10" t="str">
        <f t="shared" si="3"/>
        <v>Conventional - 13-Axle Rigid Truck and 2 Dog Trailers (CML)</v>
      </c>
      <c r="D213" s="10" t="s">
        <v>159</v>
      </c>
      <c r="E213" s="10" t="s">
        <v>220</v>
      </c>
      <c r="F213" s="12" t="s">
        <v>20</v>
      </c>
      <c r="G213" s="11" t="s">
        <v>202</v>
      </c>
      <c r="H213" t="s">
        <v>141</v>
      </c>
      <c r="I213" s="9">
        <v>97.5</v>
      </c>
      <c r="J213" s="14">
        <v>70.843860465116279</v>
      </c>
      <c r="K213" s="14">
        <f>Mass_Data[[#This Row],[GCM (t)]]-Mass_Data[[#This Row],[Payload (t)]]</f>
        <v>26.656139534883721</v>
      </c>
      <c r="L213" t="s">
        <v>8</v>
      </c>
      <c r="M213" t="s">
        <v>9</v>
      </c>
      <c r="N213" t="s">
        <v>30</v>
      </c>
      <c r="O213" t="s">
        <v>10</v>
      </c>
      <c r="P213" t="s">
        <v>30</v>
      </c>
      <c r="Q213" t="s">
        <v>10</v>
      </c>
      <c r="R213">
        <v>0</v>
      </c>
      <c r="S213" cm="1">
        <f t="array" ref="S213">_xlfn.XLOOKUP(Mass_Data[[#This Row],[axle group 1]]&amp;Mass_Data[[#This Row],[Mass Scheme]],Axle_Data[Axle Code]&amp;Axle_Data[Mass Scheme],Axle_Data[MDL Maximum Mass (t)],"",0)</f>
        <v>6.5</v>
      </c>
      <c r="T213" cm="1">
        <f t="array" ref="T213">_xlfn.XLOOKUP(Mass_Data[[#This Row],[axle group 2]]&amp;Mass_Data[[#This Row],[Mass Scheme]],Axle_Data[Axle Code]&amp;Axle_Data[Mass Scheme],Axle_Data[MDL Maximum Mass (t)],"",0)</f>
        <v>17</v>
      </c>
      <c r="U213" cm="1">
        <f t="array" ref="U213">_xlfn.XLOOKUP(Mass_Data[[#This Row],[axle group 3]]&amp;Mass_Data[[#This Row],[Mass Scheme]],Axle_Data[Axle Code]&amp;Axle_Data[Mass Scheme],Axle_Data[MDL Maximum Mass (t)],"",0)</f>
        <v>17</v>
      </c>
      <c r="V213" cm="1">
        <f t="array" ref="V213">_xlfn.XLOOKUP(Mass_Data[[#This Row],[axle group 4]]&amp;Mass_Data[[#This Row],[Mass Scheme]],Axle_Data[Axle Code]&amp;Axle_Data[Mass Scheme],Axle_Data[MDL Maximum Mass (t)],"",0)</f>
        <v>21</v>
      </c>
      <c r="W213" cm="1">
        <f t="array" ref="W213">_xlfn.XLOOKUP(Mass_Data[[#This Row],[axle group 5]]&amp;Mass_Data[[#This Row],[Mass Scheme]],Axle_Data[Axle Code]&amp;Axle_Data[Mass Scheme],Axle_Data[MDL Maximum Mass (t)],"",0)</f>
        <v>17</v>
      </c>
      <c r="X213" cm="1">
        <f t="array" ref="X213">_xlfn.XLOOKUP(Mass_Data[[#This Row],[axle group 6]]&amp;Mass_Data[[#This Row],[Mass Scheme]],Axle_Data[Axle Code]&amp;Axle_Data[Mass Scheme],Axle_Data[MDL Maximum Mass (t)],"",0)</f>
        <v>21</v>
      </c>
      <c r="Y213" t="str" cm="1">
        <f t="array" ref="Y213">_xlfn.XLOOKUP(Mass_Data[[#This Row],[axle group 7]]&amp;Mass_Data[[#This Row],[Mass Scheme]],Axle_Data[Axle Code]&amp;Axle_Data[Mass Scheme],Axle_Data[MDL Maximum Mass (t)],"",0)</f>
        <v/>
      </c>
      <c r="Z213" s="81">
        <f>SUM(Mass_Data[[#This Row],[MDL axle group 1 mass]:[MDL axle group 7 mass]])</f>
        <v>99.5</v>
      </c>
      <c r="AA213">
        <f>Mass_Data[[#This Row],[Total (1)]]-Mass_Data[[#This Row],[GCM (t)]]</f>
        <v>2</v>
      </c>
      <c r="AB213" t="str">
        <f>IF(Mass_Data[[#This Row],[Difference between MDL and GCM]]=0,"YES","NO")</f>
        <v>NO</v>
      </c>
      <c r="AC213" s="22">
        <f>IFERROR(IF(Mass_Data[[#This Row],[Check (1)]]="YES",Mass_Data[[#This Row],[MDL axle group 1 mass]],Mass_Data[[#This Row],[MDL axle group 1 mass]]-(Mass_Data[[#This Row],[Difference between MDL and GCM]]*(Mass_Data[[#This Row],[MDL axle group 1 mass]]/Mass_Data[[#This Row],[Total (1)]]))),"")</f>
        <v>6.3693467336683414</v>
      </c>
      <c r="AD213" s="22">
        <f>IFERROR(IF(Mass_Data[[#This Row],[Check (1)]]="YES",Mass_Data[[#This Row],[MDL axle group 2 mass]],Mass_Data[[#This Row],[MDL axle group 2 mass]]-(Mass_Data[[#This Row],[Difference between MDL and GCM]]*(Mass_Data[[#This Row],[MDL axle group 2 mass]]/Mass_Data[[#This Row],[Total (1)]]))),"")</f>
        <v>16.658291457286431</v>
      </c>
      <c r="AE213" s="22">
        <f>IFERROR(IF(Mass_Data[[#This Row],[Check (1)]]="YES",Mass_Data[[#This Row],[MDL axle group 3 mass]],Mass_Data[[#This Row],[MDL axle group 3 mass]]-(Mass_Data[[#This Row],[Difference between MDL and GCM]]*(Mass_Data[[#This Row],[MDL axle group 3 mass]]/Mass_Data[[#This Row],[Total (1)]]))),"")</f>
        <v>16.658291457286431</v>
      </c>
      <c r="AF213" s="22">
        <f>IFERROR(IF(Mass_Data[[#This Row],[Check (1)]]="YES",Mass_Data[[#This Row],[MDL axle group 4 mass]],Mass_Data[[#This Row],[MDL axle group 4 mass]]-(Mass_Data[[#This Row],[Difference between MDL and GCM]]*(Mass_Data[[#This Row],[MDL axle group 4 mass]]/Mass_Data[[#This Row],[Total (1)]]))),"")</f>
        <v>20.577889447236181</v>
      </c>
      <c r="AG213" s="22">
        <f>IFERROR(IF(Mass_Data[[#This Row],[Check (1)]]="YES",Mass_Data[[#This Row],[MDL axle group 5 mass]],Mass_Data[[#This Row],[MDL axle group 5 mass]]-(Mass_Data[[#This Row],[Difference between MDL and GCM]]*(Mass_Data[[#This Row],[MDL axle group 5 mass]]/Mass_Data[[#This Row],[Total (1)]]))),"")</f>
        <v>16.658291457286431</v>
      </c>
      <c r="AH213" s="22">
        <f>IFERROR(IF(Mass_Data[[#This Row],[Check (1)]]="YES",Mass_Data[[#This Row],[MDL axle group 6 mass]],Mass_Data[[#This Row],[MDL axle group 6 mass]]-(Mass_Data[[#This Row],[Difference between MDL and GCM]]*(Mass_Data[[#This Row],[MDL axle group 6 mass]]/Mass_Data[[#This Row],[Total (1)]]))),"")</f>
        <v>20.577889447236181</v>
      </c>
      <c r="AI213" s="22" t="str">
        <f>IFERROR(IF(Mass_Data[[#This Row],[Check (1)]]="YES",Mass_Data[[#This Row],[MDL axle group 7 mass]],Mass_Data[[#This Row],[MDL axle group 7 mass]]-(Mass_Data[[#This Row],[Difference between MDL and GCM]]*(Mass_Data[[#This Row],[MDL axle group 7 mass]]/Mass_Data[[#This Row],[Total (1)]]))),"")</f>
        <v/>
      </c>
      <c r="AJ213" s="81">
        <f>SUM(Mass_Data[[#This Row],[Corrected axle group 1 mass]:[Corrected axle group 7 mass]])</f>
        <v>97.5</v>
      </c>
      <c r="AK213">
        <f>Mass_Data[[#This Row],[Total (2)]]-Mass_Data[[#This Row],[GCM (t)]]</f>
        <v>0</v>
      </c>
      <c r="AL213" s="22" t="str">
        <f>IF(Mass_Data[[#This Row],[Difference between MDL and corrected axle masses]]=0,"YES","NO")</f>
        <v>YES</v>
      </c>
    </row>
    <row r="214" spans="3:38" x14ac:dyDescent="0.35">
      <c r="C214" s="10" t="str">
        <f t="shared" si="3"/>
        <v>Conventional - 13-Axle Rigid Truck and 2 Dog Trailers (HML)</v>
      </c>
      <c r="D214" s="10" t="s">
        <v>159</v>
      </c>
      <c r="E214" s="10" t="s">
        <v>220</v>
      </c>
      <c r="F214" s="12" t="s">
        <v>7</v>
      </c>
      <c r="G214" s="11" t="s">
        <v>202</v>
      </c>
      <c r="H214" t="s">
        <v>141</v>
      </c>
      <c r="I214" s="9">
        <v>102</v>
      </c>
      <c r="J214" s="14">
        <v>75.343860465116279</v>
      </c>
      <c r="K214" s="14">
        <f>Mass_Data[[#This Row],[GCM (t)]]-Mass_Data[[#This Row],[Payload (t)]]</f>
        <v>26.656139534883721</v>
      </c>
      <c r="L214" t="s">
        <v>8</v>
      </c>
      <c r="M214" t="s">
        <v>9</v>
      </c>
      <c r="N214" t="s">
        <v>30</v>
      </c>
      <c r="O214" t="s">
        <v>10</v>
      </c>
      <c r="P214" t="s">
        <v>30</v>
      </c>
      <c r="Q214" t="s">
        <v>10</v>
      </c>
      <c r="R214">
        <v>0</v>
      </c>
      <c r="S214" cm="1">
        <f t="array" ref="S214">_xlfn.XLOOKUP(Mass_Data[[#This Row],[axle group 1]]&amp;Mass_Data[[#This Row],[Mass Scheme]],Axle_Data[Axle Code]&amp;Axle_Data[Mass Scheme],Axle_Data[MDL Maximum Mass (t)],"",0)</f>
        <v>6.5</v>
      </c>
      <c r="T214" cm="1">
        <f t="array" ref="T214">_xlfn.XLOOKUP(Mass_Data[[#This Row],[axle group 2]]&amp;Mass_Data[[#This Row],[Mass Scheme]],Axle_Data[Axle Code]&amp;Axle_Data[Mass Scheme],Axle_Data[MDL Maximum Mass (t)],"",0)</f>
        <v>17</v>
      </c>
      <c r="U214" cm="1">
        <f t="array" ref="U214">_xlfn.XLOOKUP(Mass_Data[[#This Row],[axle group 3]]&amp;Mass_Data[[#This Row],[Mass Scheme]],Axle_Data[Axle Code]&amp;Axle_Data[Mass Scheme],Axle_Data[MDL Maximum Mass (t)],"",0)</f>
        <v>17</v>
      </c>
      <c r="V214" cm="1">
        <f t="array" ref="V214">_xlfn.XLOOKUP(Mass_Data[[#This Row],[axle group 4]]&amp;Mass_Data[[#This Row],[Mass Scheme]],Axle_Data[Axle Code]&amp;Axle_Data[Mass Scheme],Axle_Data[MDL Maximum Mass (t)],"",0)</f>
        <v>22.5</v>
      </c>
      <c r="W214" cm="1">
        <f t="array" ref="W214">_xlfn.XLOOKUP(Mass_Data[[#This Row],[axle group 5]]&amp;Mass_Data[[#This Row],[Mass Scheme]],Axle_Data[Axle Code]&amp;Axle_Data[Mass Scheme],Axle_Data[MDL Maximum Mass (t)],"",0)</f>
        <v>17</v>
      </c>
      <c r="X214" cm="1">
        <f t="array" ref="X214">_xlfn.XLOOKUP(Mass_Data[[#This Row],[axle group 6]]&amp;Mass_Data[[#This Row],[Mass Scheme]],Axle_Data[Axle Code]&amp;Axle_Data[Mass Scheme],Axle_Data[MDL Maximum Mass (t)],"",0)</f>
        <v>22.5</v>
      </c>
      <c r="Y214" t="str" cm="1">
        <f t="array" ref="Y214">_xlfn.XLOOKUP(Mass_Data[[#This Row],[axle group 7]]&amp;Mass_Data[[#This Row],[Mass Scheme]],Axle_Data[Axle Code]&amp;Axle_Data[Mass Scheme],Axle_Data[MDL Maximum Mass (t)],"",0)</f>
        <v/>
      </c>
      <c r="Z214" s="81">
        <f>SUM(Mass_Data[[#This Row],[MDL axle group 1 mass]:[MDL axle group 7 mass]])</f>
        <v>102.5</v>
      </c>
      <c r="AA214">
        <f>Mass_Data[[#This Row],[Total (1)]]-Mass_Data[[#This Row],[GCM (t)]]</f>
        <v>0.5</v>
      </c>
      <c r="AB214" t="str">
        <f>IF(Mass_Data[[#This Row],[Difference between MDL and GCM]]=0,"YES","NO")</f>
        <v>NO</v>
      </c>
      <c r="AC214" s="22">
        <f>IFERROR(IF(Mass_Data[[#This Row],[Check (1)]]="YES",Mass_Data[[#This Row],[MDL axle group 1 mass]],Mass_Data[[#This Row],[MDL axle group 1 mass]]-(Mass_Data[[#This Row],[Difference between MDL and GCM]]*(Mass_Data[[#This Row],[MDL axle group 1 mass]]/Mass_Data[[#This Row],[Total (1)]]))),"")</f>
        <v>6.4682926829268297</v>
      </c>
      <c r="AD214" s="22">
        <f>IFERROR(IF(Mass_Data[[#This Row],[Check (1)]]="YES",Mass_Data[[#This Row],[MDL axle group 2 mass]],Mass_Data[[#This Row],[MDL axle group 2 mass]]-(Mass_Data[[#This Row],[Difference between MDL and GCM]]*(Mass_Data[[#This Row],[MDL axle group 2 mass]]/Mass_Data[[#This Row],[Total (1)]]))),"")</f>
        <v>16.917073170731708</v>
      </c>
      <c r="AE214" s="22">
        <f>IFERROR(IF(Mass_Data[[#This Row],[Check (1)]]="YES",Mass_Data[[#This Row],[MDL axle group 3 mass]],Mass_Data[[#This Row],[MDL axle group 3 mass]]-(Mass_Data[[#This Row],[Difference between MDL and GCM]]*(Mass_Data[[#This Row],[MDL axle group 3 mass]]/Mass_Data[[#This Row],[Total (1)]]))),"")</f>
        <v>16.917073170731708</v>
      </c>
      <c r="AF214" s="22">
        <f>IFERROR(IF(Mass_Data[[#This Row],[Check (1)]]="YES",Mass_Data[[#This Row],[MDL axle group 4 mass]],Mass_Data[[#This Row],[MDL axle group 4 mass]]-(Mass_Data[[#This Row],[Difference between MDL and GCM]]*(Mass_Data[[#This Row],[MDL axle group 4 mass]]/Mass_Data[[#This Row],[Total (1)]]))),"")</f>
        <v>22.390243902439025</v>
      </c>
      <c r="AG214" s="22">
        <f>IFERROR(IF(Mass_Data[[#This Row],[Check (1)]]="YES",Mass_Data[[#This Row],[MDL axle group 5 mass]],Mass_Data[[#This Row],[MDL axle group 5 mass]]-(Mass_Data[[#This Row],[Difference between MDL and GCM]]*(Mass_Data[[#This Row],[MDL axle group 5 mass]]/Mass_Data[[#This Row],[Total (1)]]))),"")</f>
        <v>16.917073170731708</v>
      </c>
      <c r="AH214" s="22">
        <f>IFERROR(IF(Mass_Data[[#This Row],[Check (1)]]="YES",Mass_Data[[#This Row],[MDL axle group 6 mass]],Mass_Data[[#This Row],[MDL axle group 6 mass]]-(Mass_Data[[#This Row],[Difference between MDL and GCM]]*(Mass_Data[[#This Row],[MDL axle group 6 mass]]/Mass_Data[[#This Row],[Total (1)]]))),"")</f>
        <v>22.390243902439025</v>
      </c>
      <c r="AI214" s="22" t="str">
        <f>IFERROR(IF(Mass_Data[[#This Row],[Check (1)]]="YES",Mass_Data[[#This Row],[MDL axle group 7 mass]],Mass_Data[[#This Row],[MDL axle group 7 mass]]-(Mass_Data[[#This Row],[Difference between MDL and GCM]]*(Mass_Data[[#This Row],[MDL axle group 7 mass]]/Mass_Data[[#This Row],[Total (1)]]))),"")</f>
        <v/>
      </c>
      <c r="AJ214" s="81">
        <f>SUM(Mass_Data[[#This Row],[Corrected axle group 1 mass]:[Corrected axle group 7 mass]])</f>
        <v>102</v>
      </c>
      <c r="AK214">
        <f>Mass_Data[[#This Row],[Total (2)]]-Mass_Data[[#This Row],[GCM (t)]]</f>
        <v>0</v>
      </c>
      <c r="AL214" s="22" t="str">
        <f>IF(Mass_Data[[#This Row],[Difference between MDL and corrected axle masses]]=0,"YES","NO")</f>
        <v>YES</v>
      </c>
    </row>
    <row r="215" spans="3:38" x14ac:dyDescent="0.35">
      <c r="C215" s="10" t="str">
        <f t="shared" si="3"/>
        <v>Conventional - 17-Axle BAB-Quad (GML)</v>
      </c>
      <c r="D215" s="10" t="s">
        <v>158</v>
      </c>
      <c r="E215" s="10" t="s">
        <v>220</v>
      </c>
      <c r="F215" s="12" t="s">
        <v>18</v>
      </c>
      <c r="G215" s="11" t="s">
        <v>202</v>
      </c>
      <c r="H215" t="s">
        <v>73</v>
      </c>
      <c r="I215" s="9">
        <v>119</v>
      </c>
      <c r="J215" s="14">
        <v>75.157663792569323</v>
      </c>
      <c r="K215" s="14">
        <f>Mass_Data[[#This Row],[GCM (t)]]-Mass_Data[[#This Row],[Payload (t)]]</f>
        <v>43.842336207430677</v>
      </c>
      <c r="L215" t="s">
        <v>8</v>
      </c>
      <c r="M215" t="s">
        <v>9</v>
      </c>
      <c r="N215" t="s">
        <v>10</v>
      </c>
      <c r="O215" t="s">
        <v>10</v>
      </c>
      <c r="P215" t="s">
        <v>30</v>
      </c>
      <c r="Q215" t="s">
        <v>10</v>
      </c>
      <c r="R215" t="s">
        <v>10</v>
      </c>
      <c r="S215" cm="1">
        <f t="array" ref="S215">_xlfn.XLOOKUP(Mass_Data[[#This Row],[axle group 1]]&amp;Mass_Data[[#This Row],[Mass Scheme]],Axle_Data[Axle Code]&amp;Axle_Data[Mass Scheme],Axle_Data[MDL Maximum Mass (t)],"",0)</f>
        <v>6.5</v>
      </c>
      <c r="T215" cm="1">
        <f t="array" ref="T215">_xlfn.XLOOKUP(Mass_Data[[#This Row],[axle group 2]]&amp;Mass_Data[[#This Row],[Mass Scheme]],Axle_Data[Axle Code]&amp;Axle_Data[Mass Scheme],Axle_Data[MDL Maximum Mass (t)],"",0)</f>
        <v>16.5</v>
      </c>
      <c r="U215" cm="1">
        <f t="array" ref="U215">_xlfn.XLOOKUP(Mass_Data[[#This Row],[axle group 3]]&amp;Mass_Data[[#This Row],[Mass Scheme]],Axle_Data[Axle Code]&amp;Axle_Data[Mass Scheme],Axle_Data[MDL Maximum Mass (t)],"",0)</f>
        <v>20</v>
      </c>
      <c r="V215" cm="1">
        <f t="array" ref="V215">_xlfn.XLOOKUP(Mass_Data[[#This Row],[axle group 4]]&amp;Mass_Data[[#This Row],[Mass Scheme]],Axle_Data[Axle Code]&amp;Axle_Data[Mass Scheme],Axle_Data[MDL Maximum Mass (t)],"",0)</f>
        <v>20</v>
      </c>
      <c r="W215" cm="1">
        <f t="array" ref="W215">_xlfn.XLOOKUP(Mass_Data[[#This Row],[axle group 5]]&amp;Mass_Data[[#This Row],[Mass Scheme]],Axle_Data[Axle Code]&amp;Axle_Data[Mass Scheme],Axle_Data[MDL Maximum Mass (t)],"",0)</f>
        <v>16.5</v>
      </c>
      <c r="X215" cm="1">
        <f t="array" ref="X215">_xlfn.XLOOKUP(Mass_Data[[#This Row],[axle group 6]]&amp;Mass_Data[[#This Row],[Mass Scheme]],Axle_Data[Axle Code]&amp;Axle_Data[Mass Scheme],Axle_Data[MDL Maximum Mass (t)],"",0)</f>
        <v>20</v>
      </c>
      <c r="Y215" cm="1">
        <f t="array" ref="Y215">_xlfn.XLOOKUP(Mass_Data[[#This Row],[axle group 7]]&amp;Mass_Data[[#This Row],[Mass Scheme]],Axle_Data[Axle Code]&amp;Axle_Data[Mass Scheme],Axle_Data[MDL Maximum Mass (t)],"",0)</f>
        <v>20</v>
      </c>
      <c r="Z215" s="81">
        <f>SUM(Mass_Data[[#This Row],[MDL axle group 1 mass]:[MDL axle group 7 mass]])</f>
        <v>119.5</v>
      </c>
      <c r="AA215">
        <f>Mass_Data[[#This Row],[Total (1)]]-Mass_Data[[#This Row],[GCM (t)]]</f>
        <v>0.5</v>
      </c>
      <c r="AB215" t="str">
        <f>IF(Mass_Data[[#This Row],[Difference between MDL and GCM]]=0,"YES","NO")</f>
        <v>NO</v>
      </c>
      <c r="AC215" s="22">
        <f>IFERROR(IF(Mass_Data[[#This Row],[Check (1)]]="YES",Mass_Data[[#This Row],[MDL axle group 1 mass]],Mass_Data[[#This Row],[MDL axle group 1 mass]]-(Mass_Data[[#This Row],[Difference between MDL and GCM]]*(Mass_Data[[#This Row],[MDL axle group 1 mass]]/Mass_Data[[#This Row],[Total (1)]]))),"")</f>
        <v>6.472803347280335</v>
      </c>
      <c r="AD215" s="22">
        <f>IFERROR(IF(Mass_Data[[#This Row],[Check (1)]]="YES",Mass_Data[[#This Row],[MDL axle group 2 mass]],Mass_Data[[#This Row],[MDL axle group 2 mass]]-(Mass_Data[[#This Row],[Difference between MDL and GCM]]*(Mass_Data[[#This Row],[MDL axle group 2 mass]]/Mass_Data[[#This Row],[Total (1)]]))),"")</f>
        <v>16.430962343096233</v>
      </c>
      <c r="AE215" s="22">
        <f>IFERROR(IF(Mass_Data[[#This Row],[Check (1)]]="YES",Mass_Data[[#This Row],[MDL axle group 3 mass]],Mass_Data[[#This Row],[MDL axle group 3 mass]]-(Mass_Data[[#This Row],[Difference between MDL and GCM]]*(Mass_Data[[#This Row],[MDL axle group 3 mass]]/Mass_Data[[#This Row],[Total (1)]]))),"")</f>
        <v>19.9163179916318</v>
      </c>
      <c r="AF215" s="22">
        <f>IFERROR(IF(Mass_Data[[#This Row],[Check (1)]]="YES",Mass_Data[[#This Row],[MDL axle group 4 mass]],Mass_Data[[#This Row],[MDL axle group 4 mass]]-(Mass_Data[[#This Row],[Difference between MDL and GCM]]*(Mass_Data[[#This Row],[MDL axle group 4 mass]]/Mass_Data[[#This Row],[Total (1)]]))),"")</f>
        <v>19.9163179916318</v>
      </c>
      <c r="AG215" s="22">
        <f>IFERROR(IF(Mass_Data[[#This Row],[Check (1)]]="YES",Mass_Data[[#This Row],[MDL axle group 5 mass]],Mass_Data[[#This Row],[MDL axle group 5 mass]]-(Mass_Data[[#This Row],[Difference between MDL and GCM]]*(Mass_Data[[#This Row],[MDL axle group 5 mass]]/Mass_Data[[#This Row],[Total (1)]]))),"")</f>
        <v>16.430962343096233</v>
      </c>
      <c r="AH215" s="22">
        <f>IFERROR(IF(Mass_Data[[#This Row],[Check (1)]]="YES",Mass_Data[[#This Row],[MDL axle group 6 mass]],Mass_Data[[#This Row],[MDL axle group 6 mass]]-(Mass_Data[[#This Row],[Difference between MDL and GCM]]*(Mass_Data[[#This Row],[MDL axle group 6 mass]]/Mass_Data[[#This Row],[Total (1)]]))),"")</f>
        <v>19.9163179916318</v>
      </c>
      <c r="AI215" s="22">
        <f>IFERROR(IF(Mass_Data[[#This Row],[Check (1)]]="YES",Mass_Data[[#This Row],[MDL axle group 7 mass]],Mass_Data[[#This Row],[MDL axle group 7 mass]]-(Mass_Data[[#This Row],[Difference between MDL and GCM]]*(Mass_Data[[#This Row],[MDL axle group 7 mass]]/Mass_Data[[#This Row],[Total (1)]]))),"")</f>
        <v>19.9163179916318</v>
      </c>
      <c r="AJ215" s="81">
        <f>SUM(Mass_Data[[#This Row],[Corrected axle group 1 mass]:[Corrected axle group 7 mass]])</f>
        <v>119</v>
      </c>
      <c r="AK215">
        <f>Mass_Data[[#This Row],[Total (2)]]-Mass_Data[[#This Row],[GCM (t)]]</f>
        <v>0</v>
      </c>
      <c r="AL215" s="22" t="str">
        <f>IF(Mass_Data[[#This Row],[Difference between MDL and corrected axle masses]]=0,"YES","NO")</f>
        <v>YES</v>
      </c>
    </row>
    <row r="216" spans="3:38" x14ac:dyDescent="0.35">
      <c r="C216" s="10" t="str">
        <f t="shared" si="3"/>
        <v>Conventional - 17-Axle BAB-Quad (CML)</v>
      </c>
      <c r="D216" s="10" t="s">
        <v>158</v>
      </c>
      <c r="E216" s="10" t="s">
        <v>220</v>
      </c>
      <c r="F216" s="12" t="s">
        <v>20</v>
      </c>
      <c r="G216" s="11" t="s">
        <v>202</v>
      </c>
      <c r="H216" t="s">
        <v>73</v>
      </c>
      <c r="I216" s="9">
        <v>121</v>
      </c>
      <c r="J216" s="14">
        <v>77.157663792569323</v>
      </c>
      <c r="K216" s="14">
        <f>Mass_Data[[#This Row],[GCM (t)]]-Mass_Data[[#This Row],[Payload (t)]]</f>
        <v>43.842336207430677</v>
      </c>
      <c r="L216" t="s">
        <v>8</v>
      </c>
      <c r="M216" t="s">
        <v>9</v>
      </c>
      <c r="N216" t="s">
        <v>10</v>
      </c>
      <c r="O216" t="s">
        <v>10</v>
      </c>
      <c r="P216" t="s">
        <v>30</v>
      </c>
      <c r="Q216" t="s">
        <v>10</v>
      </c>
      <c r="R216" t="s">
        <v>10</v>
      </c>
      <c r="S216" cm="1">
        <f t="array" ref="S216">_xlfn.XLOOKUP(Mass_Data[[#This Row],[axle group 1]]&amp;Mass_Data[[#This Row],[Mass Scheme]],Axle_Data[Axle Code]&amp;Axle_Data[Mass Scheme],Axle_Data[MDL Maximum Mass (t)],"",0)</f>
        <v>6.5</v>
      </c>
      <c r="T216" cm="1">
        <f t="array" ref="T216">_xlfn.XLOOKUP(Mass_Data[[#This Row],[axle group 2]]&amp;Mass_Data[[#This Row],[Mass Scheme]],Axle_Data[Axle Code]&amp;Axle_Data[Mass Scheme],Axle_Data[MDL Maximum Mass (t)],"",0)</f>
        <v>17</v>
      </c>
      <c r="U216" cm="1">
        <f t="array" ref="U216">_xlfn.XLOOKUP(Mass_Data[[#This Row],[axle group 3]]&amp;Mass_Data[[#This Row],[Mass Scheme]],Axle_Data[Axle Code]&amp;Axle_Data[Mass Scheme],Axle_Data[MDL Maximum Mass (t)],"",0)</f>
        <v>21</v>
      </c>
      <c r="V216" cm="1">
        <f t="array" ref="V216">_xlfn.XLOOKUP(Mass_Data[[#This Row],[axle group 4]]&amp;Mass_Data[[#This Row],[Mass Scheme]],Axle_Data[Axle Code]&amp;Axle_Data[Mass Scheme],Axle_Data[MDL Maximum Mass (t)],"",0)</f>
        <v>21</v>
      </c>
      <c r="W216" cm="1">
        <f t="array" ref="W216">_xlfn.XLOOKUP(Mass_Data[[#This Row],[axle group 5]]&amp;Mass_Data[[#This Row],[Mass Scheme]],Axle_Data[Axle Code]&amp;Axle_Data[Mass Scheme],Axle_Data[MDL Maximum Mass (t)],"",0)</f>
        <v>17</v>
      </c>
      <c r="X216" cm="1">
        <f t="array" ref="X216">_xlfn.XLOOKUP(Mass_Data[[#This Row],[axle group 6]]&amp;Mass_Data[[#This Row],[Mass Scheme]],Axle_Data[Axle Code]&amp;Axle_Data[Mass Scheme],Axle_Data[MDL Maximum Mass (t)],"",0)</f>
        <v>21</v>
      </c>
      <c r="Y216" cm="1">
        <f t="array" ref="Y216">_xlfn.XLOOKUP(Mass_Data[[#This Row],[axle group 7]]&amp;Mass_Data[[#This Row],[Mass Scheme]],Axle_Data[Axle Code]&amp;Axle_Data[Mass Scheme],Axle_Data[MDL Maximum Mass (t)],"",0)</f>
        <v>21</v>
      </c>
      <c r="Z216" s="81">
        <f>SUM(Mass_Data[[#This Row],[MDL axle group 1 mass]:[MDL axle group 7 mass]])</f>
        <v>124.5</v>
      </c>
      <c r="AA216">
        <f>Mass_Data[[#This Row],[Total (1)]]-Mass_Data[[#This Row],[GCM (t)]]</f>
        <v>3.5</v>
      </c>
      <c r="AB216" t="str">
        <f>IF(Mass_Data[[#This Row],[Difference between MDL and GCM]]=0,"YES","NO")</f>
        <v>NO</v>
      </c>
      <c r="AC216" s="22">
        <f>IFERROR(IF(Mass_Data[[#This Row],[Check (1)]]="YES",Mass_Data[[#This Row],[MDL axle group 1 mass]],Mass_Data[[#This Row],[MDL axle group 1 mass]]-(Mass_Data[[#This Row],[Difference between MDL and GCM]]*(Mass_Data[[#This Row],[MDL axle group 1 mass]]/Mass_Data[[#This Row],[Total (1)]]))),"")</f>
        <v>6.3172690763052213</v>
      </c>
      <c r="AD216" s="22">
        <f>IFERROR(IF(Mass_Data[[#This Row],[Check (1)]]="YES",Mass_Data[[#This Row],[MDL axle group 2 mass]],Mass_Data[[#This Row],[MDL axle group 2 mass]]-(Mass_Data[[#This Row],[Difference between MDL and GCM]]*(Mass_Data[[#This Row],[MDL axle group 2 mass]]/Mass_Data[[#This Row],[Total (1)]]))),"")</f>
        <v>16.522088353413654</v>
      </c>
      <c r="AE216" s="22">
        <f>IFERROR(IF(Mass_Data[[#This Row],[Check (1)]]="YES",Mass_Data[[#This Row],[MDL axle group 3 mass]],Mass_Data[[#This Row],[MDL axle group 3 mass]]-(Mass_Data[[#This Row],[Difference between MDL and GCM]]*(Mass_Data[[#This Row],[MDL axle group 3 mass]]/Mass_Data[[#This Row],[Total (1)]]))),"")</f>
        <v>20.409638554216869</v>
      </c>
      <c r="AF216" s="22">
        <f>IFERROR(IF(Mass_Data[[#This Row],[Check (1)]]="YES",Mass_Data[[#This Row],[MDL axle group 4 mass]],Mass_Data[[#This Row],[MDL axle group 4 mass]]-(Mass_Data[[#This Row],[Difference between MDL and GCM]]*(Mass_Data[[#This Row],[MDL axle group 4 mass]]/Mass_Data[[#This Row],[Total (1)]]))),"")</f>
        <v>20.409638554216869</v>
      </c>
      <c r="AG216" s="22">
        <f>IFERROR(IF(Mass_Data[[#This Row],[Check (1)]]="YES",Mass_Data[[#This Row],[MDL axle group 5 mass]],Mass_Data[[#This Row],[MDL axle group 5 mass]]-(Mass_Data[[#This Row],[Difference between MDL and GCM]]*(Mass_Data[[#This Row],[MDL axle group 5 mass]]/Mass_Data[[#This Row],[Total (1)]]))),"")</f>
        <v>16.522088353413654</v>
      </c>
      <c r="AH216" s="22">
        <f>IFERROR(IF(Mass_Data[[#This Row],[Check (1)]]="YES",Mass_Data[[#This Row],[MDL axle group 6 mass]],Mass_Data[[#This Row],[MDL axle group 6 mass]]-(Mass_Data[[#This Row],[Difference between MDL and GCM]]*(Mass_Data[[#This Row],[MDL axle group 6 mass]]/Mass_Data[[#This Row],[Total (1)]]))),"")</f>
        <v>20.409638554216869</v>
      </c>
      <c r="AI216" s="22">
        <f>IFERROR(IF(Mass_Data[[#This Row],[Check (1)]]="YES",Mass_Data[[#This Row],[MDL axle group 7 mass]],Mass_Data[[#This Row],[MDL axle group 7 mass]]-(Mass_Data[[#This Row],[Difference between MDL and GCM]]*(Mass_Data[[#This Row],[MDL axle group 7 mass]]/Mass_Data[[#This Row],[Total (1)]]))),"")</f>
        <v>20.409638554216869</v>
      </c>
      <c r="AJ216" s="81">
        <f>SUM(Mass_Data[[#This Row],[Corrected axle group 1 mass]:[Corrected axle group 7 mass]])</f>
        <v>121</v>
      </c>
      <c r="AK216">
        <f>Mass_Data[[#This Row],[Total (2)]]-Mass_Data[[#This Row],[GCM (t)]]</f>
        <v>0</v>
      </c>
      <c r="AL216" s="22" t="str">
        <f>IF(Mass_Data[[#This Row],[Difference between MDL and corrected axle masses]]=0,"YES","NO")</f>
        <v>YES</v>
      </c>
    </row>
    <row r="217" spans="3:38" x14ac:dyDescent="0.35">
      <c r="C217" s="10" t="str">
        <f t="shared" si="3"/>
        <v>Conventional - 17-Axle BAB-Quad (HML)</v>
      </c>
      <c r="D217" s="10" t="s">
        <v>158</v>
      </c>
      <c r="E217" s="10" t="s">
        <v>220</v>
      </c>
      <c r="F217" s="12" t="s">
        <v>7</v>
      </c>
      <c r="G217" s="11" t="s">
        <v>202</v>
      </c>
      <c r="H217" t="s">
        <v>73</v>
      </c>
      <c r="I217" s="9">
        <v>130</v>
      </c>
      <c r="J217" s="14">
        <v>86.157663792569323</v>
      </c>
      <c r="K217" s="14">
        <f>Mass_Data[[#This Row],[GCM (t)]]-Mass_Data[[#This Row],[Payload (t)]]</f>
        <v>43.842336207430677</v>
      </c>
      <c r="L217" t="s">
        <v>8</v>
      </c>
      <c r="M217" t="s">
        <v>9</v>
      </c>
      <c r="N217" t="s">
        <v>10</v>
      </c>
      <c r="O217" t="s">
        <v>10</v>
      </c>
      <c r="P217" t="s">
        <v>30</v>
      </c>
      <c r="Q217" t="s">
        <v>10</v>
      </c>
      <c r="R217" t="s">
        <v>10</v>
      </c>
      <c r="S217" cm="1">
        <f t="array" ref="S217">_xlfn.XLOOKUP(Mass_Data[[#This Row],[axle group 1]]&amp;Mass_Data[[#This Row],[Mass Scheme]],Axle_Data[Axle Code]&amp;Axle_Data[Mass Scheme],Axle_Data[MDL Maximum Mass (t)],"",0)</f>
        <v>6.5</v>
      </c>
      <c r="T217" cm="1">
        <f t="array" ref="T217">_xlfn.XLOOKUP(Mass_Data[[#This Row],[axle group 2]]&amp;Mass_Data[[#This Row],[Mass Scheme]],Axle_Data[Axle Code]&amp;Axle_Data[Mass Scheme],Axle_Data[MDL Maximum Mass (t)],"",0)</f>
        <v>17</v>
      </c>
      <c r="U217" cm="1">
        <f t="array" ref="U217">_xlfn.XLOOKUP(Mass_Data[[#This Row],[axle group 3]]&amp;Mass_Data[[#This Row],[Mass Scheme]],Axle_Data[Axle Code]&amp;Axle_Data[Mass Scheme],Axle_Data[MDL Maximum Mass (t)],"",0)</f>
        <v>22.5</v>
      </c>
      <c r="V217" cm="1">
        <f t="array" ref="V217">_xlfn.XLOOKUP(Mass_Data[[#This Row],[axle group 4]]&amp;Mass_Data[[#This Row],[Mass Scheme]],Axle_Data[Axle Code]&amp;Axle_Data[Mass Scheme],Axle_Data[MDL Maximum Mass (t)],"",0)</f>
        <v>22.5</v>
      </c>
      <c r="W217" cm="1">
        <f t="array" ref="W217">_xlfn.XLOOKUP(Mass_Data[[#This Row],[axle group 5]]&amp;Mass_Data[[#This Row],[Mass Scheme]],Axle_Data[Axle Code]&amp;Axle_Data[Mass Scheme],Axle_Data[MDL Maximum Mass (t)],"",0)</f>
        <v>17</v>
      </c>
      <c r="X217" cm="1">
        <f t="array" ref="X217">_xlfn.XLOOKUP(Mass_Data[[#This Row],[axle group 6]]&amp;Mass_Data[[#This Row],[Mass Scheme]],Axle_Data[Axle Code]&amp;Axle_Data[Mass Scheme],Axle_Data[MDL Maximum Mass (t)],"",0)</f>
        <v>22.5</v>
      </c>
      <c r="Y217" cm="1">
        <f t="array" ref="Y217">_xlfn.XLOOKUP(Mass_Data[[#This Row],[axle group 7]]&amp;Mass_Data[[#This Row],[Mass Scheme]],Axle_Data[Axle Code]&amp;Axle_Data[Mass Scheme],Axle_Data[MDL Maximum Mass (t)],"",0)</f>
        <v>22.5</v>
      </c>
      <c r="Z217" s="81">
        <f>SUM(Mass_Data[[#This Row],[MDL axle group 1 mass]:[MDL axle group 7 mass]])</f>
        <v>130.5</v>
      </c>
      <c r="AA217">
        <f>Mass_Data[[#This Row],[Total (1)]]-Mass_Data[[#This Row],[GCM (t)]]</f>
        <v>0.5</v>
      </c>
      <c r="AB217" t="str">
        <f>IF(Mass_Data[[#This Row],[Difference between MDL and GCM]]=0,"YES","NO")</f>
        <v>NO</v>
      </c>
      <c r="AC217" s="22">
        <f>IFERROR(IF(Mass_Data[[#This Row],[Check (1)]]="YES",Mass_Data[[#This Row],[MDL axle group 1 mass]],Mass_Data[[#This Row],[MDL axle group 1 mass]]-(Mass_Data[[#This Row],[Difference between MDL and GCM]]*(Mass_Data[[#This Row],[MDL axle group 1 mass]]/Mass_Data[[#This Row],[Total (1)]]))),"")</f>
        <v>6.4750957854406126</v>
      </c>
      <c r="AD217" s="22">
        <f>IFERROR(IF(Mass_Data[[#This Row],[Check (1)]]="YES",Mass_Data[[#This Row],[MDL axle group 2 mass]],Mass_Data[[#This Row],[MDL axle group 2 mass]]-(Mass_Data[[#This Row],[Difference between MDL and GCM]]*(Mass_Data[[#This Row],[MDL axle group 2 mass]]/Mass_Data[[#This Row],[Total (1)]]))),"")</f>
        <v>16.934865900383141</v>
      </c>
      <c r="AE217" s="22">
        <f>IFERROR(IF(Mass_Data[[#This Row],[Check (1)]]="YES",Mass_Data[[#This Row],[MDL axle group 3 mass]],Mass_Data[[#This Row],[MDL axle group 3 mass]]-(Mass_Data[[#This Row],[Difference between MDL and GCM]]*(Mass_Data[[#This Row],[MDL axle group 3 mass]]/Mass_Data[[#This Row],[Total (1)]]))),"")</f>
        <v>22.413793103448278</v>
      </c>
      <c r="AF217" s="22">
        <f>IFERROR(IF(Mass_Data[[#This Row],[Check (1)]]="YES",Mass_Data[[#This Row],[MDL axle group 4 mass]],Mass_Data[[#This Row],[MDL axle group 4 mass]]-(Mass_Data[[#This Row],[Difference between MDL and GCM]]*(Mass_Data[[#This Row],[MDL axle group 4 mass]]/Mass_Data[[#This Row],[Total (1)]]))),"")</f>
        <v>22.413793103448278</v>
      </c>
      <c r="AG217" s="22">
        <f>IFERROR(IF(Mass_Data[[#This Row],[Check (1)]]="YES",Mass_Data[[#This Row],[MDL axle group 5 mass]],Mass_Data[[#This Row],[MDL axle group 5 mass]]-(Mass_Data[[#This Row],[Difference between MDL and GCM]]*(Mass_Data[[#This Row],[MDL axle group 5 mass]]/Mass_Data[[#This Row],[Total (1)]]))),"")</f>
        <v>16.934865900383141</v>
      </c>
      <c r="AH217" s="22">
        <f>IFERROR(IF(Mass_Data[[#This Row],[Check (1)]]="YES",Mass_Data[[#This Row],[MDL axle group 6 mass]],Mass_Data[[#This Row],[MDL axle group 6 mass]]-(Mass_Data[[#This Row],[Difference between MDL and GCM]]*(Mass_Data[[#This Row],[MDL axle group 6 mass]]/Mass_Data[[#This Row],[Total (1)]]))),"")</f>
        <v>22.413793103448278</v>
      </c>
      <c r="AI217" s="22">
        <f>IFERROR(IF(Mass_Data[[#This Row],[Check (1)]]="YES",Mass_Data[[#This Row],[MDL axle group 7 mass]],Mass_Data[[#This Row],[MDL axle group 7 mass]]-(Mass_Data[[#This Row],[Difference between MDL and GCM]]*(Mass_Data[[#This Row],[MDL axle group 7 mass]]/Mass_Data[[#This Row],[Total (1)]]))),"")</f>
        <v>22.413793103448278</v>
      </c>
      <c r="AJ217" s="81">
        <f>SUM(Mass_Data[[#This Row],[Corrected axle group 1 mass]:[Corrected axle group 7 mass]])</f>
        <v>130</v>
      </c>
      <c r="AK217">
        <f>Mass_Data[[#This Row],[Total (2)]]-Mass_Data[[#This Row],[GCM (t)]]</f>
        <v>0</v>
      </c>
      <c r="AL217" s="22" t="str">
        <f>IF(Mass_Data[[#This Row],[Difference between MDL and corrected axle masses]]=0,"YES","NO")</f>
        <v>YES</v>
      </c>
    </row>
    <row r="218" spans="3:38" x14ac:dyDescent="0.35">
      <c r="C218" s="10" t="str">
        <f t="shared" si="3"/>
        <v>Conventional - 18-Axle BAB-Quad (GML)</v>
      </c>
      <c r="D218" s="10" t="s">
        <v>157</v>
      </c>
      <c r="E218" s="10" t="s">
        <v>220</v>
      </c>
      <c r="F218" s="12" t="s">
        <v>18</v>
      </c>
      <c r="G218" s="11" t="s">
        <v>202</v>
      </c>
      <c r="H218" t="s">
        <v>75</v>
      </c>
      <c r="I218" s="9">
        <v>122.5</v>
      </c>
      <c r="J218" s="14">
        <v>77.632826796232337</v>
      </c>
      <c r="K218" s="14">
        <f>Mass_Data[[#This Row],[GCM (t)]]-Mass_Data[[#This Row],[Payload (t)]]</f>
        <v>44.867173203767663</v>
      </c>
      <c r="L218" t="s">
        <v>8</v>
      </c>
      <c r="M218" t="s">
        <v>9</v>
      </c>
      <c r="N218" t="s">
        <v>10</v>
      </c>
      <c r="O218" t="s">
        <v>10</v>
      </c>
      <c r="P218" t="s">
        <v>10</v>
      </c>
      <c r="Q218" t="s">
        <v>10</v>
      </c>
      <c r="R218" t="s">
        <v>10</v>
      </c>
      <c r="S218" cm="1">
        <f t="array" ref="S218">_xlfn.XLOOKUP(Mass_Data[[#This Row],[axle group 1]]&amp;Mass_Data[[#This Row],[Mass Scheme]],Axle_Data[Axle Code]&amp;Axle_Data[Mass Scheme],Axle_Data[MDL Maximum Mass (t)],"",0)</f>
        <v>6.5</v>
      </c>
      <c r="T218" cm="1">
        <f t="array" ref="T218">_xlfn.XLOOKUP(Mass_Data[[#This Row],[axle group 2]]&amp;Mass_Data[[#This Row],[Mass Scheme]],Axle_Data[Axle Code]&amp;Axle_Data[Mass Scheme],Axle_Data[MDL Maximum Mass (t)],"",0)</f>
        <v>16.5</v>
      </c>
      <c r="U218" cm="1">
        <f t="array" ref="U218">_xlfn.XLOOKUP(Mass_Data[[#This Row],[axle group 3]]&amp;Mass_Data[[#This Row],[Mass Scheme]],Axle_Data[Axle Code]&amp;Axle_Data[Mass Scheme],Axle_Data[MDL Maximum Mass (t)],"",0)</f>
        <v>20</v>
      </c>
      <c r="V218" cm="1">
        <f t="array" ref="V218">_xlfn.XLOOKUP(Mass_Data[[#This Row],[axle group 4]]&amp;Mass_Data[[#This Row],[Mass Scheme]],Axle_Data[Axle Code]&amp;Axle_Data[Mass Scheme],Axle_Data[MDL Maximum Mass (t)],"",0)</f>
        <v>20</v>
      </c>
      <c r="W218" cm="1">
        <f t="array" ref="W218">_xlfn.XLOOKUP(Mass_Data[[#This Row],[axle group 5]]&amp;Mass_Data[[#This Row],[Mass Scheme]],Axle_Data[Axle Code]&amp;Axle_Data[Mass Scheme],Axle_Data[MDL Maximum Mass (t)],"",0)</f>
        <v>20</v>
      </c>
      <c r="X218" cm="1">
        <f t="array" ref="X218">_xlfn.XLOOKUP(Mass_Data[[#This Row],[axle group 6]]&amp;Mass_Data[[#This Row],[Mass Scheme]],Axle_Data[Axle Code]&amp;Axle_Data[Mass Scheme],Axle_Data[MDL Maximum Mass (t)],"",0)</f>
        <v>20</v>
      </c>
      <c r="Y218" cm="1">
        <f t="array" ref="Y218">_xlfn.XLOOKUP(Mass_Data[[#This Row],[axle group 7]]&amp;Mass_Data[[#This Row],[Mass Scheme]],Axle_Data[Axle Code]&amp;Axle_Data[Mass Scheme],Axle_Data[MDL Maximum Mass (t)],"",0)</f>
        <v>20</v>
      </c>
      <c r="Z218" s="81">
        <f>SUM(Mass_Data[[#This Row],[MDL axle group 1 mass]:[MDL axle group 7 mass]])</f>
        <v>123</v>
      </c>
      <c r="AA218">
        <f>Mass_Data[[#This Row],[Total (1)]]-Mass_Data[[#This Row],[GCM (t)]]</f>
        <v>0.5</v>
      </c>
      <c r="AB218" t="str">
        <f>IF(Mass_Data[[#This Row],[Difference between MDL and GCM]]=0,"YES","NO")</f>
        <v>NO</v>
      </c>
      <c r="AC218" s="22">
        <f>IFERROR(IF(Mass_Data[[#This Row],[Check (1)]]="YES",Mass_Data[[#This Row],[MDL axle group 1 mass]],Mass_Data[[#This Row],[MDL axle group 1 mass]]-(Mass_Data[[#This Row],[Difference between MDL and GCM]]*(Mass_Data[[#This Row],[MDL axle group 1 mass]]/Mass_Data[[#This Row],[Total (1)]]))),"")</f>
        <v>6.4735772357723578</v>
      </c>
      <c r="AD218" s="22">
        <f>IFERROR(IF(Mass_Data[[#This Row],[Check (1)]]="YES",Mass_Data[[#This Row],[MDL axle group 2 mass]],Mass_Data[[#This Row],[MDL axle group 2 mass]]-(Mass_Data[[#This Row],[Difference between MDL and GCM]]*(Mass_Data[[#This Row],[MDL axle group 2 mass]]/Mass_Data[[#This Row],[Total (1)]]))),"")</f>
        <v>16.432926829268293</v>
      </c>
      <c r="AE218" s="22">
        <f>IFERROR(IF(Mass_Data[[#This Row],[Check (1)]]="YES",Mass_Data[[#This Row],[MDL axle group 3 mass]],Mass_Data[[#This Row],[MDL axle group 3 mass]]-(Mass_Data[[#This Row],[Difference between MDL and GCM]]*(Mass_Data[[#This Row],[MDL axle group 3 mass]]/Mass_Data[[#This Row],[Total (1)]]))),"")</f>
        <v>19.918699186991869</v>
      </c>
      <c r="AF218" s="22">
        <f>IFERROR(IF(Mass_Data[[#This Row],[Check (1)]]="YES",Mass_Data[[#This Row],[MDL axle group 4 mass]],Mass_Data[[#This Row],[MDL axle group 4 mass]]-(Mass_Data[[#This Row],[Difference between MDL and GCM]]*(Mass_Data[[#This Row],[MDL axle group 4 mass]]/Mass_Data[[#This Row],[Total (1)]]))),"")</f>
        <v>19.918699186991869</v>
      </c>
      <c r="AG218" s="22">
        <f>IFERROR(IF(Mass_Data[[#This Row],[Check (1)]]="YES",Mass_Data[[#This Row],[MDL axle group 5 mass]],Mass_Data[[#This Row],[MDL axle group 5 mass]]-(Mass_Data[[#This Row],[Difference between MDL and GCM]]*(Mass_Data[[#This Row],[MDL axle group 5 mass]]/Mass_Data[[#This Row],[Total (1)]]))),"")</f>
        <v>19.918699186991869</v>
      </c>
      <c r="AH218" s="22">
        <f>IFERROR(IF(Mass_Data[[#This Row],[Check (1)]]="YES",Mass_Data[[#This Row],[MDL axle group 6 mass]],Mass_Data[[#This Row],[MDL axle group 6 mass]]-(Mass_Data[[#This Row],[Difference between MDL and GCM]]*(Mass_Data[[#This Row],[MDL axle group 6 mass]]/Mass_Data[[#This Row],[Total (1)]]))),"")</f>
        <v>19.918699186991869</v>
      </c>
      <c r="AI218" s="22">
        <f>IFERROR(IF(Mass_Data[[#This Row],[Check (1)]]="YES",Mass_Data[[#This Row],[MDL axle group 7 mass]],Mass_Data[[#This Row],[MDL axle group 7 mass]]-(Mass_Data[[#This Row],[Difference between MDL and GCM]]*(Mass_Data[[#This Row],[MDL axle group 7 mass]]/Mass_Data[[#This Row],[Total (1)]]))),"")</f>
        <v>19.918699186991869</v>
      </c>
      <c r="AJ218" s="81">
        <f>SUM(Mass_Data[[#This Row],[Corrected axle group 1 mass]:[Corrected axle group 7 mass]])</f>
        <v>122.50000000000001</v>
      </c>
      <c r="AK218">
        <f>Mass_Data[[#This Row],[Total (2)]]-Mass_Data[[#This Row],[GCM (t)]]</f>
        <v>0</v>
      </c>
      <c r="AL218" s="22" t="str">
        <f>IF(Mass_Data[[#This Row],[Difference between MDL and corrected axle masses]]=0,"YES","NO")</f>
        <v>YES</v>
      </c>
    </row>
    <row r="219" spans="3:38" x14ac:dyDescent="0.35">
      <c r="C219" s="10" t="str">
        <f t="shared" si="3"/>
        <v>Conventional - 18-Axle BAB-Quad (CML)</v>
      </c>
      <c r="D219" s="10" t="s">
        <v>157</v>
      </c>
      <c r="E219" s="10" t="s">
        <v>220</v>
      </c>
      <c r="F219" s="12" t="s">
        <v>20</v>
      </c>
      <c r="G219" s="11" t="s">
        <v>202</v>
      </c>
      <c r="H219" t="s">
        <v>75</v>
      </c>
      <c r="I219" s="9">
        <v>124.5</v>
      </c>
      <c r="J219" s="14">
        <v>79.632826796232337</v>
      </c>
      <c r="K219" s="14">
        <f>Mass_Data[[#This Row],[GCM (t)]]-Mass_Data[[#This Row],[Payload (t)]]</f>
        <v>44.867173203767663</v>
      </c>
      <c r="L219" t="s">
        <v>8</v>
      </c>
      <c r="M219" t="s">
        <v>9</v>
      </c>
      <c r="N219" t="s">
        <v>10</v>
      </c>
      <c r="O219" t="s">
        <v>10</v>
      </c>
      <c r="P219" t="s">
        <v>10</v>
      </c>
      <c r="Q219" t="s">
        <v>10</v>
      </c>
      <c r="R219" t="s">
        <v>10</v>
      </c>
      <c r="S219" cm="1">
        <f t="array" ref="S219">_xlfn.XLOOKUP(Mass_Data[[#This Row],[axle group 1]]&amp;Mass_Data[[#This Row],[Mass Scheme]],Axle_Data[Axle Code]&amp;Axle_Data[Mass Scheme],Axle_Data[MDL Maximum Mass (t)],"",0)</f>
        <v>6.5</v>
      </c>
      <c r="T219" cm="1">
        <f t="array" ref="T219">_xlfn.XLOOKUP(Mass_Data[[#This Row],[axle group 2]]&amp;Mass_Data[[#This Row],[Mass Scheme]],Axle_Data[Axle Code]&amp;Axle_Data[Mass Scheme],Axle_Data[MDL Maximum Mass (t)],"",0)</f>
        <v>17</v>
      </c>
      <c r="U219" cm="1">
        <f t="array" ref="U219">_xlfn.XLOOKUP(Mass_Data[[#This Row],[axle group 3]]&amp;Mass_Data[[#This Row],[Mass Scheme]],Axle_Data[Axle Code]&amp;Axle_Data[Mass Scheme],Axle_Data[MDL Maximum Mass (t)],"",0)</f>
        <v>21</v>
      </c>
      <c r="V219" cm="1">
        <f t="array" ref="V219">_xlfn.XLOOKUP(Mass_Data[[#This Row],[axle group 4]]&amp;Mass_Data[[#This Row],[Mass Scheme]],Axle_Data[Axle Code]&amp;Axle_Data[Mass Scheme],Axle_Data[MDL Maximum Mass (t)],"",0)</f>
        <v>21</v>
      </c>
      <c r="W219" cm="1">
        <f t="array" ref="W219">_xlfn.XLOOKUP(Mass_Data[[#This Row],[axle group 5]]&amp;Mass_Data[[#This Row],[Mass Scheme]],Axle_Data[Axle Code]&amp;Axle_Data[Mass Scheme],Axle_Data[MDL Maximum Mass (t)],"",0)</f>
        <v>21</v>
      </c>
      <c r="X219" cm="1">
        <f t="array" ref="X219">_xlfn.XLOOKUP(Mass_Data[[#This Row],[axle group 6]]&amp;Mass_Data[[#This Row],[Mass Scheme]],Axle_Data[Axle Code]&amp;Axle_Data[Mass Scheme],Axle_Data[MDL Maximum Mass (t)],"",0)</f>
        <v>21</v>
      </c>
      <c r="Y219" cm="1">
        <f t="array" ref="Y219">_xlfn.XLOOKUP(Mass_Data[[#This Row],[axle group 7]]&amp;Mass_Data[[#This Row],[Mass Scheme]],Axle_Data[Axle Code]&amp;Axle_Data[Mass Scheme],Axle_Data[MDL Maximum Mass (t)],"",0)</f>
        <v>21</v>
      </c>
      <c r="Z219" s="81">
        <f>SUM(Mass_Data[[#This Row],[MDL axle group 1 mass]:[MDL axle group 7 mass]])</f>
        <v>128.5</v>
      </c>
      <c r="AA219">
        <f>Mass_Data[[#This Row],[Total (1)]]-Mass_Data[[#This Row],[GCM (t)]]</f>
        <v>4</v>
      </c>
      <c r="AB219" t="str">
        <f>IF(Mass_Data[[#This Row],[Difference between MDL and GCM]]=0,"YES","NO")</f>
        <v>NO</v>
      </c>
      <c r="AC219" s="22">
        <f>IFERROR(IF(Mass_Data[[#This Row],[Check (1)]]="YES",Mass_Data[[#This Row],[MDL axle group 1 mass]],Mass_Data[[#This Row],[MDL axle group 1 mass]]-(Mass_Data[[#This Row],[Difference between MDL and GCM]]*(Mass_Data[[#This Row],[MDL axle group 1 mass]]/Mass_Data[[#This Row],[Total (1)]]))),"")</f>
        <v>6.2976653696498053</v>
      </c>
      <c r="AD219" s="22">
        <f>IFERROR(IF(Mass_Data[[#This Row],[Check (1)]]="YES",Mass_Data[[#This Row],[MDL axle group 2 mass]],Mass_Data[[#This Row],[MDL axle group 2 mass]]-(Mass_Data[[#This Row],[Difference between MDL and GCM]]*(Mass_Data[[#This Row],[MDL axle group 2 mass]]/Mass_Data[[#This Row],[Total (1)]]))),"")</f>
        <v>16.470817120622566</v>
      </c>
      <c r="AE219" s="22">
        <f>IFERROR(IF(Mass_Data[[#This Row],[Check (1)]]="YES",Mass_Data[[#This Row],[MDL axle group 3 mass]],Mass_Data[[#This Row],[MDL axle group 3 mass]]-(Mass_Data[[#This Row],[Difference between MDL and GCM]]*(Mass_Data[[#This Row],[MDL axle group 3 mass]]/Mass_Data[[#This Row],[Total (1)]]))),"")</f>
        <v>20.346303501945524</v>
      </c>
      <c r="AF219" s="22">
        <f>IFERROR(IF(Mass_Data[[#This Row],[Check (1)]]="YES",Mass_Data[[#This Row],[MDL axle group 4 mass]],Mass_Data[[#This Row],[MDL axle group 4 mass]]-(Mass_Data[[#This Row],[Difference between MDL and GCM]]*(Mass_Data[[#This Row],[MDL axle group 4 mass]]/Mass_Data[[#This Row],[Total (1)]]))),"")</f>
        <v>20.346303501945524</v>
      </c>
      <c r="AG219" s="22">
        <f>IFERROR(IF(Mass_Data[[#This Row],[Check (1)]]="YES",Mass_Data[[#This Row],[MDL axle group 5 mass]],Mass_Data[[#This Row],[MDL axle group 5 mass]]-(Mass_Data[[#This Row],[Difference between MDL and GCM]]*(Mass_Data[[#This Row],[MDL axle group 5 mass]]/Mass_Data[[#This Row],[Total (1)]]))),"")</f>
        <v>20.346303501945524</v>
      </c>
      <c r="AH219" s="22">
        <f>IFERROR(IF(Mass_Data[[#This Row],[Check (1)]]="YES",Mass_Data[[#This Row],[MDL axle group 6 mass]],Mass_Data[[#This Row],[MDL axle group 6 mass]]-(Mass_Data[[#This Row],[Difference between MDL and GCM]]*(Mass_Data[[#This Row],[MDL axle group 6 mass]]/Mass_Data[[#This Row],[Total (1)]]))),"")</f>
        <v>20.346303501945524</v>
      </c>
      <c r="AI219" s="22">
        <f>IFERROR(IF(Mass_Data[[#This Row],[Check (1)]]="YES",Mass_Data[[#This Row],[MDL axle group 7 mass]],Mass_Data[[#This Row],[MDL axle group 7 mass]]-(Mass_Data[[#This Row],[Difference between MDL and GCM]]*(Mass_Data[[#This Row],[MDL axle group 7 mass]]/Mass_Data[[#This Row],[Total (1)]]))),"")</f>
        <v>20.346303501945524</v>
      </c>
      <c r="AJ219" s="81">
        <f>SUM(Mass_Data[[#This Row],[Corrected axle group 1 mass]:[Corrected axle group 7 mass]])</f>
        <v>124.5</v>
      </c>
      <c r="AK219">
        <f>Mass_Data[[#This Row],[Total (2)]]-Mass_Data[[#This Row],[GCM (t)]]</f>
        <v>0</v>
      </c>
      <c r="AL219" s="22" t="str">
        <f>IF(Mass_Data[[#This Row],[Difference between MDL and corrected axle masses]]=0,"YES","NO")</f>
        <v>YES</v>
      </c>
    </row>
    <row r="220" spans="3:38" x14ac:dyDescent="0.35">
      <c r="C220" s="10" t="str">
        <f t="shared" si="3"/>
        <v>Conventional - 18-Axle BAB-Quad (HML)</v>
      </c>
      <c r="D220" s="10" t="s">
        <v>157</v>
      </c>
      <c r="E220" s="10" t="s">
        <v>220</v>
      </c>
      <c r="F220" s="12" t="s">
        <v>7</v>
      </c>
      <c r="G220" s="11" t="s">
        <v>202</v>
      </c>
      <c r="H220" t="s">
        <v>75</v>
      </c>
      <c r="I220" s="9">
        <v>135.5</v>
      </c>
      <c r="J220" s="14">
        <v>90.632826796232337</v>
      </c>
      <c r="K220" s="14">
        <f>Mass_Data[[#This Row],[GCM (t)]]-Mass_Data[[#This Row],[Payload (t)]]</f>
        <v>44.867173203767663</v>
      </c>
      <c r="L220" t="s">
        <v>8</v>
      </c>
      <c r="M220" t="s">
        <v>9</v>
      </c>
      <c r="N220" t="s">
        <v>10</v>
      </c>
      <c r="O220" t="s">
        <v>10</v>
      </c>
      <c r="P220" t="s">
        <v>10</v>
      </c>
      <c r="Q220" t="s">
        <v>10</v>
      </c>
      <c r="R220" t="s">
        <v>10</v>
      </c>
      <c r="S220" cm="1">
        <f t="array" ref="S220">_xlfn.XLOOKUP(Mass_Data[[#This Row],[axle group 1]]&amp;Mass_Data[[#This Row],[Mass Scheme]],Axle_Data[Axle Code]&amp;Axle_Data[Mass Scheme],Axle_Data[MDL Maximum Mass (t)],"",0)</f>
        <v>6.5</v>
      </c>
      <c r="T220" cm="1">
        <f t="array" ref="T220">_xlfn.XLOOKUP(Mass_Data[[#This Row],[axle group 2]]&amp;Mass_Data[[#This Row],[Mass Scheme]],Axle_Data[Axle Code]&amp;Axle_Data[Mass Scheme],Axle_Data[MDL Maximum Mass (t)],"",0)</f>
        <v>17</v>
      </c>
      <c r="U220" cm="1">
        <f t="array" ref="U220">_xlfn.XLOOKUP(Mass_Data[[#This Row],[axle group 3]]&amp;Mass_Data[[#This Row],[Mass Scheme]],Axle_Data[Axle Code]&amp;Axle_Data[Mass Scheme],Axle_Data[MDL Maximum Mass (t)],"",0)</f>
        <v>22.5</v>
      </c>
      <c r="V220" cm="1">
        <f t="array" ref="V220">_xlfn.XLOOKUP(Mass_Data[[#This Row],[axle group 4]]&amp;Mass_Data[[#This Row],[Mass Scheme]],Axle_Data[Axle Code]&amp;Axle_Data[Mass Scheme],Axle_Data[MDL Maximum Mass (t)],"",0)</f>
        <v>22.5</v>
      </c>
      <c r="W220" cm="1">
        <f t="array" ref="W220">_xlfn.XLOOKUP(Mass_Data[[#This Row],[axle group 5]]&amp;Mass_Data[[#This Row],[Mass Scheme]],Axle_Data[Axle Code]&amp;Axle_Data[Mass Scheme],Axle_Data[MDL Maximum Mass (t)],"",0)</f>
        <v>22.5</v>
      </c>
      <c r="X220" cm="1">
        <f t="array" ref="X220">_xlfn.XLOOKUP(Mass_Data[[#This Row],[axle group 6]]&amp;Mass_Data[[#This Row],[Mass Scheme]],Axle_Data[Axle Code]&amp;Axle_Data[Mass Scheme],Axle_Data[MDL Maximum Mass (t)],"",0)</f>
        <v>22.5</v>
      </c>
      <c r="Y220" cm="1">
        <f t="array" ref="Y220">_xlfn.XLOOKUP(Mass_Data[[#This Row],[axle group 7]]&amp;Mass_Data[[#This Row],[Mass Scheme]],Axle_Data[Axle Code]&amp;Axle_Data[Mass Scheme],Axle_Data[MDL Maximum Mass (t)],"",0)</f>
        <v>22.5</v>
      </c>
      <c r="Z220" s="81">
        <f>SUM(Mass_Data[[#This Row],[MDL axle group 1 mass]:[MDL axle group 7 mass]])</f>
        <v>136</v>
      </c>
      <c r="AA220">
        <f>Mass_Data[[#This Row],[Total (1)]]-Mass_Data[[#This Row],[GCM (t)]]</f>
        <v>0.5</v>
      </c>
      <c r="AB220" t="str">
        <f>IF(Mass_Data[[#This Row],[Difference between MDL and GCM]]=0,"YES","NO")</f>
        <v>NO</v>
      </c>
      <c r="AC220" s="22">
        <f>IFERROR(IF(Mass_Data[[#This Row],[Check (1)]]="YES",Mass_Data[[#This Row],[MDL axle group 1 mass]],Mass_Data[[#This Row],[MDL axle group 1 mass]]-(Mass_Data[[#This Row],[Difference between MDL and GCM]]*(Mass_Data[[#This Row],[MDL axle group 1 mass]]/Mass_Data[[#This Row],[Total (1)]]))),"")</f>
        <v>6.476102941176471</v>
      </c>
      <c r="AD220" s="22">
        <f>IFERROR(IF(Mass_Data[[#This Row],[Check (1)]]="YES",Mass_Data[[#This Row],[MDL axle group 2 mass]],Mass_Data[[#This Row],[MDL axle group 2 mass]]-(Mass_Data[[#This Row],[Difference between MDL and GCM]]*(Mass_Data[[#This Row],[MDL axle group 2 mass]]/Mass_Data[[#This Row],[Total (1)]]))),"")</f>
        <v>16.9375</v>
      </c>
      <c r="AE220" s="22">
        <f>IFERROR(IF(Mass_Data[[#This Row],[Check (1)]]="YES",Mass_Data[[#This Row],[MDL axle group 3 mass]],Mass_Data[[#This Row],[MDL axle group 3 mass]]-(Mass_Data[[#This Row],[Difference between MDL and GCM]]*(Mass_Data[[#This Row],[MDL axle group 3 mass]]/Mass_Data[[#This Row],[Total (1)]]))),"")</f>
        <v>22.417279411764707</v>
      </c>
      <c r="AF220" s="22">
        <f>IFERROR(IF(Mass_Data[[#This Row],[Check (1)]]="YES",Mass_Data[[#This Row],[MDL axle group 4 mass]],Mass_Data[[#This Row],[MDL axle group 4 mass]]-(Mass_Data[[#This Row],[Difference between MDL and GCM]]*(Mass_Data[[#This Row],[MDL axle group 4 mass]]/Mass_Data[[#This Row],[Total (1)]]))),"")</f>
        <v>22.417279411764707</v>
      </c>
      <c r="AG220" s="22">
        <f>IFERROR(IF(Mass_Data[[#This Row],[Check (1)]]="YES",Mass_Data[[#This Row],[MDL axle group 5 mass]],Mass_Data[[#This Row],[MDL axle group 5 mass]]-(Mass_Data[[#This Row],[Difference between MDL and GCM]]*(Mass_Data[[#This Row],[MDL axle group 5 mass]]/Mass_Data[[#This Row],[Total (1)]]))),"")</f>
        <v>22.417279411764707</v>
      </c>
      <c r="AH220" s="22">
        <f>IFERROR(IF(Mass_Data[[#This Row],[Check (1)]]="YES",Mass_Data[[#This Row],[MDL axle group 6 mass]],Mass_Data[[#This Row],[MDL axle group 6 mass]]-(Mass_Data[[#This Row],[Difference between MDL and GCM]]*(Mass_Data[[#This Row],[MDL axle group 6 mass]]/Mass_Data[[#This Row],[Total (1)]]))),"")</f>
        <v>22.417279411764707</v>
      </c>
      <c r="AI220" s="22">
        <f>IFERROR(IF(Mass_Data[[#This Row],[Check (1)]]="YES",Mass_Data[[#This Row],[MDL axle group 7 mass]],Mass_Data[[#This Row],[MDL axle group 7 mass]]-(Mass_Data[[#This Row],[Difference between MDL and GCM]]*(Mass_Data[[#This Row],[MDL axle group 7 mass]]/Mass_Data[[#This Row],[Total (1)]]))),"")</f>
        <v>22.417279411764707</v>
      </c>
      <c r="AJ220" s="81">
        <f>SUM(Mass_Data[[#This Row],[Corrected axle group 1 mass]:[Corrected axle group 7 mass]])</f>
        <v>135.5</v>
      </c>
      <c r="AK220">
        <f>Mass_Data[[#This Row],[Total (2)]]-Mass_Data[[#This Row],[GCM (t)]]</f>
        <v>0</v>
      </c>
      <c r="AL220" s="22" t="str">
        <f>IF(Mass_Data[[#This Row],[Difference between MDL and corrected axle masses]]=0,"YES","NO")</f>
        <v>YES</v>
      </c>
    </row>
    <row r="221" spans="3:38" x14ac:dyDescent="0.35">
      <c r="C221" s="10" t="str">
        <f t="shared" si="3"/>
        <v>Conventional - 17-Axle ABB-Quad (GML)</v>
      </c>
      <c r="D221" s="10" t="s">
        <v>156</v>
      </c>
      <c r="E221" s="10" t="s">
        <v>220</v>
      </c>
      <c r="F221" s="12" t="s">
        <v>18</v>
      </c>
      <c r="G221" s="11" t="s">
        <v>202</v>
      </c>
      <c r="H221" t="s">
        <v>142</v>
      </c>
      <c r="I221" s="9">
        <v>119</v>
      </c>
      <c r="J221" s="14">
        <v>75.157663792569323</v>
      </c>
      <c r="K221" s="14">
        <f>Mass_Data[[#This Row],[GCM (t)]]-Mass_Data[[#This Row],[Payload (t)]]</f>
        <v>43.842336207430677</v>
      </c>
      <c r="L221" t="s">
        <v>8</v>
      </c>
      <c r="M221" t="s">
        <v>9</v>
      </c>
      <c r="N221" t="s">
        <v>10</v>
      </c>
      <c r="O221" t="s">
        <v>30</v>
      </c>
      <c r="P221" t="s">
        <v>10</v>
      </c>
      <c r="Q221" t="s">
        <v>10</v>
      </c>
      <c r="R221" t="s">
        <v>10</v>
      </c>
      <c r="S221" cm="1">
        <f t="array" ref="S221">_xlfn.XLOOKUP(Mass_Data[[#This Row],[axle group 1]]&amp;Mass_Data[[#This Row],[Mass Scheme]],Axle_Data[Axle Code]&amp;Axle_Data[Mass Scheme],Axle_Data[MDL Maximum Mass (t)],"",0)</f>
        <v>6.5</v>
      </c>
      <c r="T221" cm="1">
        <f t="array" ref="T221">_xlfn.XLOOKUP(Mass_Data[[#This Row],[axle group 2]]&amp;Mass_Data[[#This Row],[Mass Scheme]],Axle_Data[Axle Code]&amp;Axle_Data[Mass Scheme],Axle_Data[MDL Maximum Mass (t)],"",0)</f>
        <v>16.5</v>
      </c>
      <c r="U221" cm="1">
        <f t="array" ref="U221">_xlfn.XLOOKUP(Mass_Data[[#This Row],[axle group 3]]&amp;Mass_Data[[#This Row],[Mass Scheme]],Axle_Data[Axle Code]&amp;Axle_Data[Mass Scheme],Axle_Data[MDL Maximum Mass (t)],"",0)</f>
        <v>20</v>
      </c>
      <c r="V221" cm="1">
        <f t="array" ref="V221">_xlfn.XLOOKUP(Mass_Data[[#This Row],[axle group 4]]&amp;Mass_Data[[#This Row],[Mass Scheme]],Axle_Data[Axle Code]&amp;Axle_Data[Mass Scheme],Axle_Data[MDL Maximum Mass (t)],"",0)</f>
        <v>16.5</v>
      </c>
      <c r="W221" cm="1">
        <f t="array" ref="W221">_xlfn.XLOOKUP(Mass_Data[[#This Row],[axle group 5]]&amp;Mass_Data[[#This Row],[Mass Scheme]],Axle_Data[Axle Code]&amp;Axle_Data[Mass Scheme],Axle_Data[MDL Maximum Mass (t)],"",0)</f>
        <v>20</v>
      </c>
      <c r="X221" cm="1">
        <f t="array" ref="X221">_xlfn.XLOOKUP(Mass_Data[[#This Row],[axle group 6]]&amp;Mass_Data[[#This Row],[Mass Scheme]],Axle_Data[Axle Code]&amp;Axle_Data[Mass Scheme],Axle_Data[MDL Maximum Mass (t)],"",0)</f>
        <v>20</v>
      </c>
      <c r="Y221" cm="1">
        <f t="array" ref="Y221">_xlfn.XLOOKUP(Mass_Data[[#This Row],[axle group 7]]&amp;Mass_Data[[#This Row],[Mass Scheme]],Axle_Data[Axle Code]&amp;Axle_Data[Mass Scheme],Axle_Data[MDL Maximum Mass (t)],"",0)</f>
        <v>20</v>
      </c>
      <c r="Z221" s="81">
        <f>SUM(Mass_Data[[#This Row],[MDL axle group 1 mass]:[MDL axle group 7 mass]])</f>
        <v>119.5</v>
      </c>
      <c r="AA221">
        <f>Mass_Data[[#This Row],[Total (1)]]-Mass_Data[[#This Row],[GCM (t)]]</f>
        <v>0.5</v>
      </c>
      <c r="AB221" t="str">
        <f>IF(Mass_Data[[#This Row],[Difference between MDL and GCM]]=0,"YES","NO")</f>
        <v>NO</v>
      </c>
      <c r="AC221" s="22">
        <f>IFERROR(IF(Mass_Data[[#This Row],[Check (1)]]="YES",Mass_Data[[#This Row],[MDL axle group 1 mass]],Mass_Data[[#This Row],[MDL axle group 1 mass]]-(Mass_Data[[#This Row],[Difference between MDL and GCM]]*(Mass_Data[[#This Row],[MDL axle group 1 mass]]/Mass_Data[[#This Row],[Total (1)]]))),"")</f>
        <v>6.472803347280335</v>
      </c>
      <c r="AD221" s="22">
        <f>IFERROR(IF(Mass_Data[[#This Row],[Check (1)]]="YES",Mass_Data[[#This Row],[MDL axle group 2 mass]],Mass_Data[[#This Row],[MDL axle group 2 mass]]-(Mass_Data[[#This Row],[Difference between MDL and GCM]]*(Mass_Data[[#This Row],[MDL axle group 2 mass]]/Mass_Data[[#This Row],[Total (1)]]))),"")</f>
        <v>16.430962343096233</v>
      </c>
      <c r="AE221" s="22">
        <f>IFERROR(IF(Mass_Data[[#This Row],[Check (1)]]="YES",Mass_Data[[#This Row],[MDL axle group 3 mass]],Mass_Data[[#This Row],[MDL axle group 3 mass]]-(Mass_Data[[#This Row],[Difference between MDL and GCM]]*(Mass_Data[[#This Row],[MDL axle group 3 mass]]/Mass_Data[[#This Row],[Total (1)]]))),"")</f>
        <v>19.9163179916318</v>
      </c>
      <c r="AF221" s="22">
        <f>IFERROR(IF(Mass_Data[[#This Row],[Check (1)]]="YES",Mass_Data[[#This Row],[MDL axle group 4 mass]],Mass_Data[[#This Row],[MDL axle group 4 mass]]-(Mass_Data[[#This Row],[Difference between MDL and GCM]]*(Mass_Data[[#This Row],[MDL axle group 4 mass]]/Mass_Data[[#This Row],[Total (1)]]))),"")</f>
        <v>16.430962343096233</v>
      </c>
      <c r="AG221" s="22">
        <f>IFERROR(IF(Mass_Data[[#This Row],[Check (1)]]="YES",Mass_Data[[#This Row],[MDL axle group 5 mass]],Mass_Data[[#This Row],[MDL axle group 5 mass]]-(Mass_Data[[#This Row],[Difference between MDL and GCM]]*(Mass_Data[[#This Row],[MDL axle group 5 mass]]/Mass_Data[[#This Row],[Total (1)]]))),"")</f>
        <v>19.9163179916318</v>
      </c>
      <c r="AH221" s="22">
        <f>IFERROR(IF(Mass_Data[[#This Row],[Check (1)]]="YES",Mass_Data[[#This Row],[MDL axle group 6 mass]],Mass_Data[[#This Row],[MDL axle group 6 mass]]-(Mass_Data[[#This Row],[Difference between MDL and GCM]]*(Mass_Data[[#This Row],[MDL axle group 6 mass]]/Mass_Data[[#This Row],[Total (1)]]))),"")</f>
        <v>19.9163179916318</v>
      </c>
      <c r="AI221" s="22">
        <f>IFERROR(IF(Mass_Data[[#This Row],[Check (1)]]="YES",Mass_Data[[#This Row],[MDL axle group 7 mass]],Mass_Data[[#This Row],[MDL axle group 7 mass]]-(Mass_Data[[#This Row],[Difference between MDL and GCM]]*(Mass_Data[[#This Row],[MDL axle group 7 mass]]/Mass_Data[[#This Row],[Total (1)]]))),"")</f>
        <v>19.9163179916318</v>
      </c>
      <c r="AJ221" s="81">
        <f>SUM(Mass_Data[[#This Row],[Corrected axle group 1 mass]:[Corrected axle group 7 mass]])</f>
        <v>119</v>
      </c>
      <c r="AK221">
        <f>Mass_Data[[#This Row],[Total (2)]]-Mass_Data[[#This Row],[GCM (t)]]</f>
        <v>0</v>
      </c>
      <c r="AL221" s="22" t="str">
        <f>IF(Mass_Data[[#This Row],[Difference between MDL and corrected axle masses]]=0,"YES","NO")</f>
        <v>YES</v>
      </c>
    </row>
    <row r="222" spans="3:38" x14ac:dyDescent="0.35">
      <c r="C222" s="10" t="str">
        <f t="shared" si="3"/>
        <v>Conventional - 17-Axle ABB-Quad (CML)</v>
      </c>
      <c r="D222" s="10" t="s">
        <v>156</v>
      </c>
      <c r="E222" s="10" t="s">
        <v>220</v>
      </c>
      <c r="F222" s="12" t="s">
        <v>20</v>
      </c>
      <c r="G222" s="11" t="s">
        <v>202</v>
      </c>
      <c r="H222" t="s">
        <v>142</v>
      </c>
      <c r="I222" s="9">
        <v>121</v>
      </c>
      <c r="J222" s="14">
        <v>77.157663792569323</v>
      </c>
      <c r="K222" s="14">
        <f>Mass_Data[[#This Row],[GCM (t)]]-Mass_Data[[#This Row],[Payload (t)]]</f>
        <v>43.842336207430677</v>
      </c>
      <c r="L222" t="s">
        <v>8</v>
      </c>
      <c r="M222" t="s">
        <v>9</v>
      </c>
      <c r="N222" t="s">
        <v>10</v>
      </c>
      <c r="O222" t="s">
        <v>30</v>
      </c>
      <c r="P222" t="s">
        <v>10</v>
      </c>
      <c r="Q222" t="s">
        <v>10</v>
      </c>
      <c r="R222" t="s">
        <v>10</v>
      </c>
      <c r="S222" cm="1">
        <f t="array" ref="S222">_xlfn.XLOOKUP(Mass_Data[[#This Row],[axle group 1]]&amp;Mass_Data[[#This Row],[Mass Scheme]],Axle_Data[Axle Code]&amp;Axle_Data[Mass Scheme],Axle_Data[MDL Maximum Mass (t)],"",0)</f>
        <v>6.5</v>
      </c>
      <c r="T222" cm="1">
        <f t="array" ref="T222">_xlfn.XLOOKUP(Mass_Data[[#This Row],[axle group 2]]&amp;Mass_Data[[#This Row],[Mass Scheme]],Axle_Data[Axle Code]&amp;Axle_Data[Mass Scheme],Axle_Data[MDL Maximum Mass (t)],"",0)</f>
        <v>17</v>
      </c>
      <c r="U222" cm="1">
        <f t="array" ref="U222">_xlfn.XLOOKUP(Mass_Data[[#This Row],[axle group 3]]&amp;Mass_Data[[#This Row],[Mass Scheme]],Axle_Data[Axle Code]&amp;Axle_Data[Mass Scheme],Axle_Data[MDL Maximum Mass (t)],"",0)</f>
        <v>21</v>
      </c>
      <c r="V222" cm="1">
        <f t="array" ref="V222">_xlfn.XLOOKUP(Mass_Data[[#This Row],[axle group 4]]&amp;Mass_Data[[#This Row],[Mass Scheme]],Axle_Data[Axle Code]&amp;Axle_Data[Mass Scheme],Axle_Data[MDL Maximum Mass (t)],"",0)</f>
        <v>17</v>
      </c>
      <c r="W222" cm="1">
        <f t="array" ref="W222">_xlfn.XLOOKUP(Mass_Data[[#This Row],[axle group 5]]&amp;Mass_Data[[#This Row],[Mass Scheme]],Axle_Data[Axle Code]&amp;Axle_Data[Mass Scheme],Axle_Data[MDL Maximum Mass (t)],"",0)</f>
        <v>21</v>
      </c>
      <c r="X222" cm="1">
        <f t="array" ref="X222">_xlfn.XLOOKUP(Mass_Data[[#This Row],[axle group 6]]&amp;Mass_Data[[#This Row],[Mass Scheme]],Axle_Data[Axle Code]&amp;Axle_Data[Mass Scheme],Axle_Data[MDL Maximum Mass (t)],"",0)</f>
        <v>21</v>
      </c>
      <c r="Y222" cm="1">
        <f t="array" ref="Y222">_xlfn.XLOOKUP(Mass_Data[[#This Row],[axle group 7]]&amp;Mass_Data[[#This Row],[Mass Scheme]],Axle_Data[Axle Code]&amp;Axle_Data[Mass Scheme],Axle_Data[MDL Maximum Mass (t)],"",0)</f>
        <v>21</v>
      </c>
      <c r="Z222" s="81">
        <f>SUM(Mass_Data[[#This Row],[MDL axle group 1 mass]:[MDL axle group 7 mass]])</f>
        <v>124.5</v>
      </c>
      <c r="AA222">
        <f>Mass_Data[[#This Row],[Total (1)]]-Mass_Data[[#This Row],[GCM (t)]]</f>
        <v>3.5</v>
      </c>
      <c r="AB222" t="str">
        <f>IF(Mass_Data[[#This Row],[Difference between MDL and GCM]]=0,"YES","NO")</f>
        <v>NO</v>
      </c>
      <c r="AC222" s="22">
        <f>IFERROR(IF(Mass_Data[[#This Row],[Check (1)]]="YES",Mass_Data[[#This Row],[MDL axle group 1 mass]],Mass_Data[[#This Row],[MDL axle group 1 mass]]-(Mass_Data[[#This Row],[Difference between MDL and GCM]]*(Mass_Data[[#This Row],[MDL axle group 1 mass]]/Mass_Data[[#This Row],[Total (1)]]))),"")</f>
        <v>6.3172690763052213</v>
      </c>
      <c r="AD222" s="22">
        <f>IFERROR(IF(Mass_Data[[#This Row],[Check (1)]]="YES",Mass_Data[[#This Row],[MDL axle group 2 mass]],Mass_Data[[#This Row],[MDL axle group 2 mass]]-(Mass_Data[[#This Row],[Difference between MDL and GCM]]*(Mass_Data[[#This Row],[MDL axle group 2 mass]]/Mass_Data[[#This Row],[Total (1)]]))),"")</f>
        <v>16.522088353413654</v>
      </c>
      <c r="AE222" s="22">
        <f>IFERROR(IF(Mass_Data[[#This Row],[Check (1)]]="YES",Mass_Data[[#This Row],[MDL axle group 3 mass]],Mass_Data[[#This Row],[MDL axle group 3 mass]]-(Mass_Data[[#This Row],[Difference between MDL and GCM]]*(Mass_Data[[#This Row],[MDL axle group 3 mass]]/Mass_Data[[#This Row],[Total (1)]]))),"")</f>
        <v>20.409638554216869</v>
      </c>
      <c r="AF222" s="22">
        <f>IFERROR(IF(Mass_Data[[#This Row],[Check (1)]]="YES",Mass_Data[[#This Row],[MDL axle group 4 mass]],Mass_Data[[#This Row],[MDL axle group 4 mass]]-(Mass_Data[[#This Row],[Difference between MDL and GCM]]*(Mass_Data[[#This Row],[MDL axle group 4 mass]]/Mass_Data[[#This Row],[Total (1)]]))),"")</f>
        <v>16.522088353413654</v>
      </c>
      <c r="AG222" s="22">
        <f>IFERROR(IF(Mass_Data[[#This Row],[Check (1)]]="YES",Mass_Data[[#This Row],[MDL axle group 5 mass]],Mass_Data[[#This Row],[MDL axle group 5 mass]]-(Mass_Data[[#This Row],[Difference between MDL and GCM]]*(Mass_Data[[#This Row],[MDL axle group 5 mass]]/Mass_Data[[#This Row],[Total (1)]]))),"")</f>
        <v>20.409638554216869</v>
      </c>
      <c r="AH222" s="22">
        <f>IFERROR(IF(Mass_Data[[#This Row],[Check (1)]]="YES",Mass_Data[[#This Row],[MDL axle group 6 mass]],Mass_Data[[#This Row],[MDL axle group 6 mass]]-(Mass_Data[[#This Row],[Difference between MDL and GCM]]*(Mass_Data[[#This Row],[MDL axle group 6 mass]]/Mass_Data[[#This Row],[Total (1)]]))),"")</f>
        <v>20.409638554216869</v>
      </c>
      <c r="AI222" s="22">
        <f>IFERROR(IF(Mass_Data[[#This Row],[Check (1)]]="YES",Mass_Data[[#This Row],[MDL axle group 7 mass]],Mass_Data[[#This Row],[MDL axle group 7 mass]]-(Mass_Data[[#This Row],[Difference between MDL and GCM]]*(Mass_Data[[#This Row],[MDL axle group 7 mass]]/Mass_Data[[#This Row],[Total (1)]]))),"")</f>
        <v>20.409638554216869</v>
      </c>
      <c r="AJ222" s="81">
        <f>SUM(Mass_Data[[#This Row],[Corrected axle group 1 mass]:[Corrected axle group 7 mass]])</f>
        <v>121</v>
      </c>
      <c r="AK222">
        <f>Mass_Data[[#This Row],[Total (2)]]-Mass_Data[[#This Row],[GCM (t)]]</f>
        <v>0</v>
      </c>
      <c r="AL222" s="22" t="str">
        <f>IF(Mass_Data[[#This Row],[Difference between MDL and corrected axle masses]]=0,"YES","NO")</f>
        <v>YES</v>
      </c>
    </row>
    <row r="223" spans="3:38" x14ac:dyDescent="0.35">
      <c r="C223" s="10" t="str">
        <f t="shared" si="3"/>
        <v>Conventional - 17-Axle ABB-Quad (HML)</v>
      </c>
      <c r="D223" s="10" t="s">
        <v>156</v>
      </c>
      <c r="E223" s="10" t="s">
        <v>220</v>
      </c>
      <c r="F223" s="12" t="s">
        <v>7</v>
      </c>
      <c r="G223" s="11" t="s">
        <v>202</v>
      </c>
      <c r="H223" t="s">
        <v>142</v>
      </c>
      <c r="I223" s="9">
        <v>130</v>
      </c>
      <c r="J223" s="14">
        <v>86.157663792569323</v>
      </c>
      <c r="K223" s="14">
        <f>Mass_Data[[#This Row],[GCM (t)]]-Mass_Data[[#This Row],[Payload (t)]]</f>
        <v>43.842336207430677</v>
      </c>
      <c r="L223" t="s">
        <v>8</v>
      </c>
      <c r="M223" t="s">
        <v>9</v>
      </c>
      <c r="N223" t="s">
        <v>10</v>
      </c>
      <c r="O223" t="s">
        <v>30</v>
      </c>
      <c r="P223" t="s">
        <v>10</v>
      </c>
      <c r="Q223" t="s">
        <v>10</v>
      </c>
      <c r="R223" t="s">
        <v>10</v>
      </c>
      <c r="S223" cm="1">
        <f t="array" ref="S223">_xlfn.XLOOKUP(Mass_Data[[#This Row],[axle group 1]]&amp;Mass_Data[[#This Row],[Mass Scheme]],Axle_Data[Axle Code]&amp;Axle_Data[Mass Scheme],Axle_Data[MDL Maximum Mass (t)],"",0)</f>
        <v>6.5</v>
      </c>
      <c r="T223" cm="1">
        <f t="array" ref="T223">_xlfn.XLOOKUP(Mass_Data[[#This Row],[axle group 2]]&amp;Mass_Data[[#This Row],[Mass Scheme]],Axle_Data[Axle Code]&amp;Axle_Data[Mass Scheme],Axle_Data[MDL Maximum Mass (t)],"",0)</f>
        <v>17</v>
      </c>
      <c r="U223" cm="1">
        <f t="array" ref="U223">_xlfn.XLOOKUP(Mass_Data[[#This Row],[axle group 3]]&amp;Mass_Data[[#This Row],[Mass Scheme]],Axle_Data[Axle Code]&amp;Axle_Data[Mass Scheme],Axle_Data[MDL Maximum Mass (t)],"",0)</f>
        <v>22.5</v>
      </c>
      <c r="V223" cm="1">
        <f t="array" ref="V223">_xlfn.XLOOKUP(Mass_Data[[#This Row],[axle group 4]]&amp;Mass_Data[[#This Row],[Mass Scheme]],Axle_Data[Axle Code]&amp;Axle_Data[Mass Scheme],Axle_Data[MDL Maximum Mass (t)],"",0)</f>
        <v>17</v>
      </c>
      <c r="W223" cm="1">
        <f t="array" ref="W223">_xlfn.XLOOKUP(Mass_Data[[#This Row],[axle group 5]]&amp;Mass_Data[[#This Row],[Mass Scheme]],Axle_Data[Axle Code]&amp;Axle_Data[Mass Scheme],Axle_Data[MDL Maximum Mass (t)],"",0)</f>
        <v>22.5</v>
      </c>
      <c r="X223" cm="1">
        <f t="array" ref="X223">_xlfn.XLOOKUP(Mass_Data[[#This Row],[axle group 6]]&amp;Mass_Data[[#This Row],[Mass Scheme]],Axle_Data[Axle Code]&amp;Axle_Data[Mass Scheme],Axle_Data[MDL Maximum Mass (t)],"",0)</f>
        <v>22.5</v>
      </c>
      <c r="Y223" cm="1">
        <f t="array" ref="Y223">_xlfn.XLOOKUP(Mass_Data[[#This Row],[axle group 7]]&amp;Mass_Data[[#This Row],[Mass Scheme]],Axle_Data[Axle Code]&amp;Axle_Data[Mass Scheme],Axle_Data[MDL Maximum Mass (t)],"",0)</f>
        <v>22.5</v>
      </c>
      <c r="Z223" s="81">
        <f>SUM(Mass_Data[[#This Row],[MDL axle group 1 mass]:[MDL axle group 7 mass]])</f>
        <v>130.5</v>
      </c>
      <c r="AA223">
        <f>Mass_Data[[#This Row],[Total (1)]]-Mass_Data[[#This Row],[GCM (t)]]</f>
        <v>0.5</v>
      </c>
      <c r="AB223" t="str">
        <f>IF(Mass_Data[[#This Row],[Difference between MDL and GCM]]=0,"YES","NO")</f>
        <v>NO</v>
      </c>
      <c r="AC223" s="22">
        <f>IFERROR(IF(Mass_Data[[#This Row],[Check (1)]]="YES",Mass_Data[[#This Row],[MDL axle group 1 mass]],Mass_Data[[#This Row],[MDL axle group 1 mass]]-(Mass_Data[[#This Row],[Difference between MDL and GCM]]*(Mass_Data[[#This Row],[MDL axle group 1 mass]]/Mass_Data[[#This Row],[Total (1)]]))),"")</f>
        <v>6.4750957854406126</v>
      </c>
      <c r="AD223" s="22">
        <f>IFERROR(IF(Mass_Data[[#This Row],[Check (1)]]="YES",Mass_Data[[#This Row],[MDL axle group 2 mass]],Mass_Data[[#This Row],[MDL axle group 2 mass]]-(Mass_Data[[#This Row],[Difference between MDL and GCM]]*(Mass_Data[[#This Row],[MDL axle group 2 mass]]/Mass_Data[[#This Row],[Total (1)]]))),"")</f>
        <v>16.934865900383141</v>
      </c>
      <c r="AE223" s="22">
        <f>IFERROR(IF(Mass_Data[[#This Row],[Check (1)]]="YES",Mass_Data[[#This Row],[MDL axle group 3 mass]],Mass_Data[[#This Row],[MDL axle group 3 mass]]-(Mass_Data[[#This Row],[Difference between MDL and GCM]]*(Mass_Data[[#This Row],[MDL axle group 3 mass]]/Mass_Data[[#This Row],[Total (1)]]))),"")</f>
        <v>22.413793103448278</v>
      </c>
      <c r="AF223" s="22">
        <f>IFERROR(IF(Mass_Data[[#This Row],[Check (1)]]="YES",Mass_Data[[#This Row],[MDL axle group 4 mass]],Mass_Data[[#This Row],[MDL axle group 4 mass]]-(Mass_Data[[#This Row],[Difference between MDL and GCM]]*(Mass_Data[[#This Row],[MDL axle group 4 mass]]/Mass_Data[[#This Row],[Total (1)]]))),"")</f>
        <v>16.934865900383141</v>
      </c>
      <c r="AG223" s="22">
        <f>IFERROR(IF(Mass_Data[[#This Row],[Check (1)]]="YES",Mass_Data[[#This Row],[MDL axle group 5 mass]],Mass_Data[[#This Row],[MDL axle group 5 mass]]-(Mass_Data[[#This Row],[Difference between MDL and GCM]]*(Mass_Data[[#This Row],[MDL axle group 5 mass]]/Mass_Data[[#This Row],[Total (1)]]))),"")</f>
        <v>22.413793103448278</v>
      </c>
      <c r="AH223" s="22">
        <f>IFERROR(IF(Mass_Data[[#This Row],[Check (1)]]="YES",Mass_Data[[#This Row],[MDL axle group 6 mass]],Mass_Data[[#This Row],[MDL axle group 6 mass]]-(Mass_Data[[#This Row],[Difference between MDL and GCM]]*(Mass_Data[[#This Row],[MDL axle group 6 mass]]/Mass_Data[[#This Row],[Total (1)]]))),"")</f>
        <v>22.413793103448278</v>
      </c>
      <c r="AI223" s="22">
        <f>IFERROR(IF(Mass_Data[[#This Row],[Check (1)]]="YES",Mass_Data[[#This Row],[MDL axle group 7 mass]],Mass_Data[[#This Row],[MDL axle group 7 mass]]-(Mass_Data[[#This Row],[Difference between MDL and GCM]]*(Mass_Data[[#This Row],[MDL axle group 7 mass]]/Mass_Data[[#This Row],[Total (1)]]))),"")</f>
        <v>22.413793103448278</v>
      </c>
      <c r="AJ223" s="81">
        <f>SUM(Mass_Data[[#This Row],[Corrected axle group 1 mass]:[Corrected axle group 7 mass]])</f>
        <v>130.00000000000003</v>
      </c>
      <c r="AK223">
        <f>Mass_Data[[#This Row],[Total (2)]]-Mass_Data[[#This Row],[GCM (t)]]</f>
        <v>0</v>
      </c>
      <c r="AL223" s="22" t="str">
        <f>IF(Mass_Data[[#This Row],[Difference between MDL and corrected axle masses]]=0,"YES","NO")</f>
        <v>YES</v>
      </c>
    </row>
    <row r="224" spans="3:38" x14ac:dyDescent="0.35">
      <c r="C224" s="10" t="str">
        <f t="shared" si="3"/>
        <v>Conventional - 18-Axle ABB-Quad (GML)</v>
      </c>
      <c r="D224" s="10" t="s">
        <v>155</v>
      </c>
      <c r="E224" s="10" t="s">
        <v>220</v>
      </c>
      <c r="F224" s="12" t="s">
        <v>18</v>
      </c>
      <c r="G224" s="11" t="s">
        <v>202</v>
      </c>
      <c r="H224" t="s">
        <v>143</v>
      </c>
      <c r="I224" s="9">
        <v>122.5</v>
      </c>
      <c r="J224" s="14">
        <v>77.632826796232337</v>
      </c>
      <c r="K224" s="14">
        <f>Mass_Data[[#This Row],[GCM (t)]]-Mass_Data[[#This Row],[Payload (t)]]</f>
        <v>44.867173203767663</v>
      </c>
      <c r="L224" t="s">
        <v>8</v>
      </c>
      <c r="M224" t="s">
        <v>9</v>
      </c>
      <c r="N224" t="s">
        <v>10</v>
      </c>
      <c r="O224" t="s">
        <v>10</v>
      </c>
      <c r="P224" t="s">
        <v>10</v>
      </c>
      <c r="Q224" t="s">
        <v>10</v>
      </c>
      <c r="R224" t="s">
        <v>10</v>
      </c>
      <c r="S224" cm="1">
        <f t="array" ref="S224">_xlfn.XLOOKUP(Mass_Data[[#This Row],[axle group 1]]&amp;Mass_Data[[#This Row],[Mass Scheme]],Axle_Data[Axle Code]&amp;Axle_Data[Mass Scheme],Axle_Data[MDL Maximum Mass (t)],"",0)</f>
        <v>6.5</v>
      </c>
      <c r="T224" cm="1">
        <f t="array" ref="T224">_xlfn.XLOOKUP(Mass_Data[[#This Row],[axle group 2]]&amp;Mass_Data[[#This Row],[Mass Scheme]],Axle_Data[Axle Code]&amp;Axle_Data[Mass Scheme],Axle_Data[MDL Maximum Mass (t)],"",0)</f>
        <v>16.5</v>
      </c>
      <c r="U224" cm="1">
        <f t="array" ref="U224">_xlfn.XLOOKUP(Mass_Data[[#This Row],[axle group 3]]&amp;Mass_Data[[#This Row],[Mass Scheme]],Axle_Data[Axle Code]&amp;Axle_Data[Mass Scheme],Axle_Data[MDL Maximum Mass (t)],"",0)</f>
        <v>20</v>
      </c>
      <c r="V224" cm="1">
        <f t="array" ref="V224">_xlfn.XLOOKUP(Mass_Data[[#This Row],[axle group 4]]&amp;Mass_Data[[#This Row],[Mass Scheme]],Axle_Data[Axle Code]&amp;Axle_Data[Mass Scheme],Axle_Data[MDL Maximum Mass (t)],"",0)</f>
        <v>20</v>
      </c>
      <c r="W224" cm="1">
        <f t="array" ref="W224">_xlfn.XLOOKUP(Mass_Data[[#This Row],[axle group 5]]&amp;Mass_Data[[#This Row],[Mass Scheme]],Axle_Data[Axle Code]&amp;Axle_Data[Mass Scheme],Axle_Data[MDL Maximum Mass (t)],"",0)</f>
        <v>20</v>
      </c>
      <c r="X224" cm="1">
        <f t="array" ref="X224">_xlfn.XLOOKUP(Mass_Data[[#This Row],[axle group 6]]&amp;Mass_Data[[#This Row],[Mass Scheme]],Axle_Data[Axle Code]&amp;Axle_Data[Mass Scheme],Axle_Data[MDL Maximum Mass (t)],"",0)</f>
        <v>20</v>
      </c>
      <c r="Y224" cm="1">
        <f t="array" ref="Y224">_xlfn.XLOOKUP(Mass_Data[[#This Row],[axle group 7]]&amp;Mass_Data[[#This Row],[Mass Scheme]],Axle_Data[Axle Code]&amp;Axle_Data[Mass Scheme],Axle_Data[MDL Maximum Mass (t)],"",0)</f>
        <v>20</v>
      </c>
      <c r="Z224" s="81">
        <f>SUM(Mass_Data[[#This Row],[MDL axle group 1 mass]:[MDL axle group 7 mass]])</f>
        <v>123</v>
      </c>
      <c r="AA224">
        <f>Mass_Data[[#This Row],[Total (1)]]-Mass_Data[[#This Row],[GCM (t)]]</f>
        <v>0.5</v>
      </c>
      <c r="AB224" t="str">
        <f>IF(Mass_Data[[#This Row],[Difference between MDL and GCM]]=0,"YES","NO")</f>
        <v>NO</v>
      </c>
      <c r="AC224" s="22">
        <f>IFERROR(IF(Mass_Data[[#This Row],[Check (1)]]="YES",Mass_Data[[#This Row],[MDL axle group 1 mass]],Mass_Data[[#This Row],[MDL axle group 1 mass]]-(Mass_Data[[#This Row],[Difference between MDL and GCM]]*(Mass_Data[[#This Row],[MDL axle group 1 mass]]/Mass_Data[[#This Row],[Total (1)]]))),"")</f>
        <v>6.4735772357723578</v>
      </c>
      <c r="AD224" s="22">
        <f>IFERROR(IF(Mass_Data[[#This Row],[Check (1)]]="YES",Mass_Data[[#This Row],[MDL axle group 2 mass]],Mass_Data[[#This Row],[MDL axle group 2 mass]]-(Mass_Data[[#This Row],[Difference between MDL and GCM]]*(Mass_Data[[#This Row],[MDL axle group 2 mass]]/Mass_Data[[#This Row],[Total (1)]]))),"")</f>
        <v>16.432926829268293</v>
      </c>
      <c r="AE224" s="22">
        <f>IFERROR(IF(Mass_Data[[#This Row],[Check (1)]]="YES",Mass_Data[[#This Row],[MDL axle group 3 mass]],Mass_Data[[#This Row],[MDL axle group 3 mass]]-(Mass_Data[[#This Row],[Difference between MDL and GCM]]*(Mass_Data[[#This Row],[MDL axle group 3 mass]]/Mass_Data[[#This Row],[Total (1)]]))),"")</f>
        <v>19.918699186991869</v>
      </c>
      <c r="AF224" s="22">
        <f>IFERROR(IF(Mass_Data[[#This Row],[Check (1)]]="YES",Mass_Data[[#This Row],[MDL axle group 4 mass]],Mass_Data[[#This Row],[MDL axle group 4 mass]]-(Mass_Data[[#This Row],[Difference between MDL and GCM]]*(Mass_Data[[#This Row],[MDL axle group 4 mass]]/Mass_Data[[#This Row],[Total (1)]]))),"")</f>
        <v>19.918699186991869</v>
      </c>
      <c r="AG224" s="22">
        <f>IFERROR(IF(Mass_Data[[#This Row],[Check (1)]]="YES",Mass_Data[[#This Row],[MDL axle group 5 mass]],Mass_Data[[#This Row],[MDL axle group 5 mass]]-(Mass_Data[[#This Row],[Difference between MDL and GCM]]*(Mass_Data[[#This Row],[MDL axle group 5 mass]]/Mass_Data[[#This Row],[Total (1)]]))),"")</f>
        <v>19.918699186991869</v>
      </c>
      <c r="AH224" s="22">
        <f>IFERROR(IF(Mass_Data[[#This Row],[Check (1)]]="YES",Mass_Data[[#This Row],[MDL axle group 6 mass]],Mass_Data[[#This Row],[MDL axle group 6 mass]]-(Mass_Data[[#This Row],[Difference between MDL and GCM]]*(Mass_Data[[#This Row],[MDL axle group 6 mass]]/Mass_Data[[#This Row],[Total (1)]]))),"")</f>
        <v>19.918699186991869</v>
      </c>
      <c r="AI224" s="22">
        <f>IFERROR(IF(Mass_Data[[#This Row],[Check (1)]]="YES",Mass_Data[[#This Row],[MDL axle group 7 mass]],Mass_Data[[#This Row],[MDL axle group 7 mass]]-(Mass_Data[[#This Row],[Difference between MDL and GCM]]*(Mass_Data[[#This Row],[MDL axle group 7 mass]]/Mass_Data[[#This Row],[Total (1)]]))),"")</f>
        <v>19.918699186991869</v>
      </c>
      <c r="AJ224" s="81">
        <f>SUM(Mass_Data[[#This Row],[Corrected axle group 1 mass]:[Corrected axle group 7 mass]])</f>
        <v>122.50000000000001</v>
      </c>
      <c r="AK224">
        <f>Mass_Data[[#This Row],[Total (2)]]-Mass_Data[[#This Row],[GCM (t)]]</f>
        <v>0</v>
      </c>
      <c r="AL224" s="22" t="str">
        <f>IF(Mass_Data[[#This Row],[Difference between MDL and corrected axle masses]]=0,"YES","NO")</f>
        <v>YES</v>
      </c>
    </row>
    <row r="225" spans="3:38" x14ac:dyDescent="0.35">
      <c r="C225" s="10" t="str">
        <f t="shared" si="3"/>
        <v>Conventional - 18-Axle ABB-Quad (CML)</v>
      </c>
      <c r="D225" s="10" t="s">
        <v>155</v>
      </c>
      <c r="E225" s="10" t="s">
        <v>220</v>
      </c>
      <c r="F225" s="12" t="s">
        <v>20</v>
      </c>
      <c r="G225" s="11" t="s">
        <v>202</v>
      </c>
      <c r="H225" t="s">
        <v>143</v>
      </c>
      <c r="I225" s="9">
        <v>124.5</v>
      </c>
      <c r="J225" s="14">
        <v>79.632826796232337</v>
      </c>
      <c r="K225" s="14">
        <f>Mass_Data[[#This Row],[GCM (t)]]-Mass_Data[[#This Row],[Payload (t)]]</f>
        <v>44.867173203767663</v>
      </c>
      <c r="L225" t="s">
        <v>8</v>
      </c>
      <c r="M225" t="s">
        <v>9</v>
      </c>
      <c r="N225" t="s">
        <v>10</v>
      </c>
      <c r="O225" t="s">
        <v>10</v>
      </c>
      <c r="P225" t="s">
        <v>10</v>
      </c>
      <c r="Q225" t="s">
        <v>10</v>
      </c>
      <c r="R225" t="s">
        <v>10</v>
      </c>
      <c r="S225" cm="1">
        <f t="array" ref="S225">_xlfn.XLOOKUP(Mass_Data[[#This Row],[axle group 1]]&amp;Mass_Data[[#This Row],[Mass Scheme]],Axle_Data[Axle Code]&amp;Axle_Data[Mass Scheme],Axle_Data[MDL Maximum Mass (t)],"",0)</f>
        <v>6.5</v>
      </c>
      <c r="T225" cm="1">
        <f t="array" ref="T225">_xlfn.XLOOKUP(Mass_Data[[#This Row],[axle group 2]]&amp;Mass_Data[[#This Row],[Mass Scheme]],Axle_Data[Axle Code]&amp;Axle_Data[Mass Scheme],Axle_Data[MDL Maximum Mass (t)],"",0)</f>
        <v>17</v>
      </c>
      <c r="U225" cm="1">
        <f t="array" ref="U225">_xlfn.XLOOKUP(Mass_Data[[#This Row],[axle group 3]]&amp;Mass_Data[[#This Row],[Mass Scheme]],Axle_Data[Axle Code]&amp;Axle_Data[Mass Scheme],Axle_Data[MDL Maximum Mass (t)],"",0)</f>
        <v>21</v>
      </c>
      <c r="V225" cm="1">
        <f t="array" ref="V225">_xlfn.XLOOKUP(Mass_Data[[#This Row],[axle group 4]]&amp;Mass_Data[[#This Row],[Mass Scheme]],Axle_Data[Axle Code]&amp;Axle_Data[Mass Scheme],Axle_Data[MDL Maximum Mass (t)],"",0)</f>
        <v>21</v>
      </c>
      <c r="W225" cm="1">
        <f t="array" ref="W225">_xlfn.XLOOKUP(Mass_Data[[#This Row],[axle group 5]]&amp;Mass_Data[[#This Row],[Mass Scheme]],Axle_Data[Axle Code]&amp;Axle_Data[Mass Scheme],Axle_Data[MDL Maximum Mass (t)],"",0)</f>
        <v>21</v>
      </c>
      <c r="X225" cm="1">
        <f t="array" ref="X225">_xlfn.XLOOKUP(Mass_Data[[#This Row],[axle group 6]]&amp;Mass_Data[[#This Row],[Mass Scheme]],Axle_Data[Axle Code]&amp;Axle_Data[Mass Scheme],Axle_Data[MDL Maximum Mass (t)],"",0)</f>
        <v>21</v>
      </c>
      <c r="Y225" cm="1">
        <f t="array" ref="Y225">_xlfn.XLOOKUP(Mass_Data[[#This Row],[axle group 7]]&amp;Mass_Data[[#This Row],[Mass Scheme]],Axle_Data[Axle Code]&amp;Axle_Data[Mass Scheme],Axle_Data[MDL Maximum Mass (t)],"",0)</f>
        <v>21</v>
      </c>
      <c r="Z225" s="81">
        <f>SUM(Mass_Data[[#This Row],[MDL axle group 1 mass]:[MDL axle group 7 mass]])</f>
        <v>128.5</v>
      </c>
      <c r="AA225">
        <f>Mass_Data[[#This Row],[Total (1)]]-Mass_Data[[#This Row],[GCM (t)]]</f>
        <v>4</v>
      </c>
      <c r="AB225" t="str">
        <f>IF(Mass_Data[[#This Row],[Difference between MDL and GCM]]=0,"YES","NO")</f>
        <v>NO</v>
      </c>
      <c r="AC225" s="22">
        <f>IFERROR(IF(Mass_Data[[#This Row],[Check (1)]]="YES",Mass_Data[[#This Row],[MDL axle group 1 mass]],Mass_Data[[#This Row],[MDL axle group 1 mass]]-(Mass_Data[[#This Row],[Difference between MDL and GCM]]*(Mass_Data[[#This Row],[MDL axle group 1 mass]]/Mass_Data[[#This Row],[Total (1)]]))),"")</f>
        <v>6.2976653696498053</v>
      </c>
      <c r="AD225" s="22">
        <f>IFERROR(IF(Mass_Data[[#This Row],[Check (1)]]="YES",Mass_Data[[#This Row],[MDL axle group 2 mass]],Mass_Data[[#This Row],[MDL axle group 2 mass]]-(Mass_Data[[#This Row],[Difference between MDL and GCM]]*(Mass_Data[[#This Row],[MDL axle group 2 mass]]/Mass_Data[[#This Row],[Total (1)]]))),"")</f>
        <v>16.470817120622566</v>
      </c>
      <c r="AE225" s="22">
        <f>IFERROR(IF(Mass_Data[[#This Row],[Check (1)]]="YES",Mass_Data[[#This Row],[MDL axle group 3 mass]],Mass_Data[[#This Row],[MDL axle group 3 mass]]-(Mass_Data[[#This Row],[Difference between MDL and GCM]]*(Mass_Data[[#This Row],[MDL axle group 3 mass]]/Mass_Data[[#This Row],[Total (1)]]))),"")</f>
        <v>20.346303501945524</v>
      </c>
      <c r="AF225" s="22">
        <f>IFERROR(IF(Mass_Data[[#This Row],[Check (1)]]="YES",Mass_Data[[#This Row],[MDL axle group 4 mass]],Mass_Data[[#This Row],[MDL axle group 4 mass]]-(Mass_Data[[#This Row],[Difference between MDL and GCM]]*(Mass_Data[[#This Row],[MDL axle group 4 mass]]/Mass_Data[[#This Row],[Total (1)]]))),"")</f>
        <v>20.346303501945524</v>
      </c>
      <c r="AG225" s="22">
        <f>IFERROR(IF(Mass_Data[[#This Row],[Check (1)]]="YES",Mass_Data[[#This Row],[MDL axle group 5 mass]],Mass_Data[[#This Row],[MDL axle group 5 mass]]-(Mass_Data[[#This Row],[Difference between MDL and GCM]]*(Mass_Data[[#This Row],[MDL axle group 5 mass]]/Mass_Data[[#This Row],[Total (1)]]))),"")</f>
        <v>20.346303501945524</v>
      </c>
      <c r="AH225" s="22">
        <f>IFERROR(IF(Mass_Data[[#This Row],[Check (1)]]="YES",Mass_Data[[#This Row],[MDL axle group 6 mass]],Mass_Data[[#This Row],[MDL axle group 6 mass]]-(Mass_Data[[#This Row],[Difference between MDL and GCM]]*(Mass_Data[[#This Row],[MDL axle group 6 mass]]/Mass_Data[[#This Row],[Total (1)]]))),"")</f>
        <v>20.346303501945524</v>
      </c>
      <c r="AI225" s="22">
        <f>IFERROR(IF(Mass_Data[[#This Row],[Check (1)]]="YES",Mass_Data[[#This Row],[MDL axle group 7 mass]],Mass_Data[[#This Row],[MDL axle group 7 mass]]-(Mass_Data[[#This Row],[Difference between MDL and GCM]]*(Mass_Data[[#This Row],[MDL axle group 7 mass]]/Mass_Data[[#This Row],[Total (1)]]))),"")</f>
        <v>20.346303501945524</v>
      </c>
      <c r="AJ225" s="81">
        <f>SUM(Mass_Data[[#This Row],[Corrected axle group 1 mass]:[Corrected axle group 7 mass]])</f>
        <v>124.5</v>
      </c>
      <c r="AK225">
        <f>Mass_Data[[#This Row],[Total (2)]]-Mass_Data[[#This Row],[GCM (t)]]</f>
        <v>0</v>
      </c>
      <c r="AL225" s="22" t="str">
        <f>IF(Mass_Data[[#This Row],[Difference between MDL and corrected axle masses]]=0,"YES","NO")</f>
        <v>YES</v>
      </c>
    </row>
    <row r="226" spans="3:38" x14ac:dyDescent="0.35">
      <c r="C226" s="10" t="str">
        <f t="shared" si="3"/>
        <v>Conventional - 18-Axle ABB-Quad (HML)</v>
      </c>
      <c r="D226" s="10" t="s">
        <v>155</v>
      </c>
      <c r="E226" s="10" t="s">
        <v>220</v>
      </c>
      <c r="F226" s="13" t="s">
        <v>7</v>
      </c>
      <c r="G226" s="11" t="s">
        <v>202</v>
      </c>
      <c r="H226" t="s">
        <v>143</v>
      </c>
      <c r="I226" s="9">
        <v>135.5</v>
      </c>
      <c r="J226" s="14">
        <v>90.632826796232337</v>
      </c>
      <c r="K226" s="14">
        <f>Mass_Data[[#This Row],[GCM (t)]]-Mass_Data[[#This Row],[Payload (t)]]</f>
        <v>44.867173203767663</v>
      </c>
      <c r="L226" t="s">
        <v>8</v>
      </c>
      <c r="M226" t="s">
        <v>9</v>
      </c>
      <c r="N226" t="s">
        <v>10</v>
      </c>
      <c r="O226" t="s">
        <v>10</v>
      </c>
      <c r="P226" t="s">
        <v>10</v>
      </c>
      <c r="Q226" t="s">
        <v>10</v>
      </c>
      <c r="R226" t="s">
        <v>10</v>
      </c>
      <c r="S226" cm="1">
        <f t="array" ref="S226">_xlfn.XLOOKUP(Mass_Data[[#This Row],[axle group 1]]&amp;Mass_Data[[#This Row],[Mass Scheme]],Axle_Data[Axle Code]&amp;Axle_Data[Mass Scheme],Axle_Data[MDL Maximum Mass (t)],"",0)</f>
        <v>6.5</v>
      </c>
      <c r="T226" cm="1">
        <f t="array" ref="T226">_xlfn.XLOOKUP(Mass_Data[[#This Row],[axle group 2]]&amp;Mass_Data[[#This Row],[Mass Scheme]],Axle_Data[Axle Code]&amp;Axle_Data[Mass Scheme],Axle_Data[MDL Maximum Mass (t)],"",0)</f>
        <v>17</v>
      </c>
      <c r="U226" cm="1">
        <f t="array" ref="U226">_xlfn.XLOOKUP(Mass_Data[[#This Row],[axle group 3]]&amp;Mass_Data[[#This Row],[Mass Scheme]],Axle_Data[Axle Code]&amp;Axle_Data[Mass Scheme],Axle_Data[MDL Maximum Mass (t)],"",0)</f>
        <v>22.5</v>
      </c>
      <c r="V226" cm="1">
        <f t="array" ref="V226">_xlfn.XLOOKUP(Mass_Data[[#This Row],[axle group 4]]&amp;Mass_Data[[#This Row],[Mass Scheme]],Axle_Data[Axle Code]&amp;Axle_Data[Mass Scheme],Axle_Data[MDL Maximum Mass (t)],"",0)</f>
        <v>22.5</v>
      </c>
      <c r="W226" cm="1">
        <f t="array" ref="W226">_xlfn.XLOOKUP(Mass_Data[[#This Row],[axle group 5]]&amp;Mass_Data[[#This Row],[Mass Scheme]],Axle_Data[Axle Code]&amp;Axle_Data[Mass Scheme],Axle_Data[MDL Maximum Mass (t)],"",0)</f>
        <v>22.5</v>
      </c>
      <c r="X226" cm="1">
        <f t="array" ref="X226">_xlfn.XLOOKUP(Mass_Data[[#This Row],[axle group 6]]&amp;Mass_Data[[#This Row],[Mass Scheme]],Axle_Data[Axle Code]&amp;Axle_Data[Mass Scheme],Axle_Data[MDL Maximum Mass (t)],"",0)</f>
        <v>22.5</v>
      </c>
      <c r="Y226" cm="1">
        <f t="array" ref="Y226">_xlfn.XLOOKUP(Mass_Data[[#This Row],[axle group 7]]&amp;Mass_Data[[#This Row],[Mass Scheme]],Axle_Data[Axle Code]&amp;Axle_Data[Mass Scheme],Axle_Data[MDL Maximum Mass (t)],"",0)</f>
        <v>22.5</v>
      </c>
      <c r="Z226" s="81">
        <f>SUM(Mass_Data[[#This Row],[MDL axle group 1 mass]:[MDL axle group 7 mass]])</f>
        <v>136</v>
      </c>
      <c r="AA226">
        <f>Mass_Data[[#This Row],[Total (1)]]-Mass_Data[[#This Row],[GCM (t)]]</f>
        <v>0.5</v>
      </c>
      <c r="AB226" t="str">
        <f>IF(Mass_Data[[#This Row],[Difference between MDL and GCM]]=0,"YES","NO")</f>
        <v>NO</v>
      </c>
      <c r="AC226" s="22">
        <f>IFERROR(IF(Mass_Data[[#This Row],[Check (1)]]="YES",Mass_Data[[#This Row],[MDL axle group 1 mass]],Mass_Data[[#This Row],[MDL axle group 1 mass]]-(Mass_Data[[#This Row],[Difference between MDL and GCM]]*(Mass_Data[[#This Row],[MDL axle group 1 mass]]/Mass_Data[[#This Row],[Total (1)]]))),"")</f>
        <v>6.476102941176471</v>
      </c>
      <c r="AD226" s="22">
        <f>IFERROR(IF(Mass_Data[[#This Row],[Check (1)]]="YES",Mass_Data[[#This Row],[MDL axle group 2 mass]],Mass_Data[[#This Row],[MDL axle group 2 mass]]-(Mass_Data[[#This Row],[Difference between MDL and GCM]]*(Mass_Data[[#This Row],[MDL axle group 2 mass]]/Mass_Data[[#This Row],[Total (1)]]))),"")</f>
        <v>16.9375</v>
      </c>
      <c r="AE226" s="22">
        <f>IFERROR(IF(Mass_Data[[#This Row],[Check (1)]]="YES",Mass_Data[[#This Row],[MDL axle group 3 mass]],Mass_Data[[#This Row],[MDL axle group 3 mass]]-(Mass_Data[[#This Row],[Difference between MDL and GCM]]*(Mass_Data[[#This Row],[MDL axle group 3 mass]]/Mass_Data[[#This Row],[Total (1)]]))),"")</f>
        <v>22.417279411764707</v>
      </c>
      <c r="AF226" s="22">
        <f>IFERROR(IF(Mass_Data[[#This Row],[Check (1)]]="YES",Mass_Data[[#This Row],[MDL axle group 4 mass]],Mass_Data[[#This Row],[MDL axle group 4 mass]]-(Mass_Data[[#This Row],[Difference between MDL and GCM]]*(Mass_Data[[#This Row],[MDL axle group 4 mass]]/Mass_Data[[#This Row],[Total (1)]]))),"")</f>
        <v>22.417279411764707</v>
      </c>
      <c r="AG226" s="22">
        <f>IFERROR(IF(Mass_Data[[#This Row],[Check (1)]]="YES",Mass_Data[[#This Row],[MDL axle group 5 mass]],Mass_Data[[#This Row],[MDL axle group 5 mass]]-(Mass_Data[[#This Row],[Difference between MDL and GCM]]*(Mass_Data[[#This Row],[MDL axle group 5 mass]]/Mass_Data[[#This Row],[Total (1)]]))),"")</f>
        <v>22.417279411764707</v>
      </c>
      <c r="AH226" s="22">
        <f>IFERROR(IF(Mass_Data[[#This Row],[Check (1)]]="YES",Mass_Data[[#This Row],[MDL axle group 6 mass]],Mass_Data[[#This Row],[MDL axle group 6 mass]]-(Mass_Data[[#This Row],[Difference between MDL and GCM]]*(Mass_Data[[#This Row],[MDL axle group 6 mass]]/Mass_Data[[#This Row],[Total (1)]]))),"")</f>
        <v>22.417279411764707</v>
      </c>
      <c r="AI226" s="22">
        <f>IFERROR(IF(Mass_Data[[#This Row],[Check (1)]]="YES",Mass_Data[[#This Row],[MDL axle group 7 mass]],Mass_Data[[#This Row],[MDL axle group 7 mass]]-(Mass_Data[[#This Row],[Difference between MDL and GCM]]*(Mass_Data[[#This Row],[MDL axle group 7 mass]]/Mass_Data[[#This Row],[Total (1)]]))),"")</f>
        <v>22.417279411764707</v>
      </c>
      <c r="AJ226" s="81">
        <f>SUM(Mass_Data[[#This Row],[Corrected axle group 1 mass]:[Corrected axle group 7 mass]])</f>
        <v>135.5</v>
      </c>
      <c r="AK226">
        <f>Mass_Data[[#This Row],[Total (2)]]-Mass_Data[[#This Row],[GCM (t)]]</f>
        <v>0</v>
      </c>
      <c r="AL226" s="22" t="str">
        <f>IF(Mass_Data[[#This Row],[Difference between MDL and corrected axle masses]]=0,"YES","NO")</f>
        <v>YES</v>
      </c>
    </row>
  </sheetData>
  <sheetProtection algorithmName="SHA-512" hashValue="ON2hQdR4ZkXDa+PHL24Jrm2AyfipH9DsTdBmXYf/VMjjH91iild7TropvbEYm7H7HOIpP5Pqjzzh4cSjnkR4sQ==" saltValue="dmpCtIYC76U8YvoTbn8ZTw==" spinCount="100000" sheet="1" objects="1" scenarios="1"/>
  <mergeCells count="5">
    <mergeCell ref="AC1:AJ2"/>
    <mergeCell ref="L2:R2"/>
    <mergeCell ref="I2:K2"/>
    <mergeCell ref="C2:H2"/>
    <mergeCell ref="S2:AB2"/>
  </mergeCells>
  <phoneticPr fontId="8" type="noConversion"/>
  <conditionalFormatting sqref="AB4:AB226">
    <cfRule type="cellIs" dxfId="2" priority="1" operator="equal">
      <formula>"YES"</formula>
    </cfRule>
    <cfRule type="cellIs" dxfId="1" priority="2" operator="equal">
      <formula>"NO"</formula>
    </cfRule>
  </conditionalFormatting>
  <conditionalFormatting sqref="AL4:AL226">
    <cfRule type="cellIs" dxfId="0" priority="3" operator="equal">
      <formula>"YES"</formula>
    </cfRule>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19E6-0EC1-466C-8F26-B43651F4A74D}">
  <sheetPr codeName="Sheet3">
    <tabColor theme="3" tint="0.79998168889431442"/>
  </sheetPr>
  <dimension ref="B1:M161"/>
  <sheetViews>
    <sheetView showGridLines="0" zoomScale="85" zoomScaleNormal="85" workbookViewId="0">
      <pane ySplit="5" topLeftCell="A6" activePane="bottomLeft" state="frozen"/>
      <selection activeCell="H31" sqref="H31"/>
      <selection pane="bottomLeft" activeCell="F19" sqref="F19"/>
    </sheetView>
  </sheetViews>
  <sheetFormatPr defaultColWidth="8.7265625" defaultRowHeight="14.5" x14ac:dyDescent="0.35"/>
  <cols>
    <col min="2" max="2" width="30" bestFit="1" customWidth="1"/>
    <col min="3" max="3" width="17.7265625" bestFit="1" customWidth="1"/>
    <col min="4" max="4" width="19.453125" bestFit="1" customWidth="1"/>
    <col min="5" max="5" width="38.7265625" customWidth="1"/>
    <col min="6" max="6" width="18.54296875" bestFit="1" customWidth="1"/>
    <col min="8" max="8" width="43.81640625" bestFit="1" customWidth="1"/>
    <col min="9" max="9" width="27.453125" bestFit="1" customWidth="1"/>
    <col min="10" max="10" width="27.453125" customWidth="1"/>
    <col min="11" max="11" width="28.81640625" customWidth="1"/>
    <col min="12" max="12" width="42" customWidth="1"/>
    <col min="13" max="13" width="25.6328125" bestFit="1" customWidth="1"/>
    <col min="14" max="14" width="8.453125" customWidth="1"/>
  </cols>
  <sheetData>
    <row r="1" spans="2:13" x14ac:dyDescent="0.35">
      <c r="I1" s="7"/>
    </row>
    <row r="2" spans="2:13" ht="29" x14ac:dyDescent="0.35">
      <c r="B2" s="426" t="s">
        <v>83</v>
      </c>
      <c r="C2" s="426" t="s">
        <v>295</v>
      </c>
      <c r="D2" s="30"/>
      <c r="E2" s="50" t="s">
        <v>296</v>
      </c>
      <c r="G2" s="427" t="s">
        <v>77</v>
      </c>
      <c r="H2" s="427"/>
      <c r="I2" s="51" t="s">
        <v>388</v>
      </c>
      <c r="J2" s="51" t="s">
        <v>386</v>
      </c>
      <c r="K2" s="51" t="s">
        <v>387</v>
      </c>
      <c r="L2" s="183" t="s">
        <v>154</v>
      </c>
    </row>
    <row r="3" spans="2:13" x14ac:dyDescent="0.35">
      <c r="B3" s="426"/>
      <c r="C3" s="426"/>
      <c r="D3" s="30"/>
      <c r="E3" s="52" t="s">
        <v>297</v>
      </c>
      <c r="G3" s="427" t="s">
        <v>298</v>
      </c>
      <c r="H3" s="427"/>
      <c r="I3" s="53">
        <v>0.13600000000000001</v>
      </c>
      <c r="J3" s="53">
        <v>4.87E-2</v>
      </c>
      <c r="K3" s="53">
        <v>3.6900000000000002E-2</v>
      </c>
      <c r="L3" s="184"/>
      <c r="M3" s="3" t="s">
        <v>88</v>
      </c>
    </row>
    <row r="4" spans="2:13" ht="39" x14ac:dyDescent="0.35">
      <c r="B4" s="426"/>
      <c r="C4" s="426"/>
      <c r="D4" s="30"/>
      <c r="E4" s="52" t="s">
        <v>299</v>
      </c>
      <c r="G4" s="427" t="s">
        <v>300</v>
      </c>
      <c r="H4" s="427"/>
      <c r="I4" s="54">
        <v>2018</v>
      </c>
      <c r="J4" s="54">
        <v>2018</v>
      </c>
      <c r="K4" s="54">
        <v>2018</v>
      </c>
      <c r="L4" s="185"/>
    </row>
    <row r="5" spans="2:13" x14ac:dyDescent="0.35">
      <c r="B5" s="426"/>
      <c r="C5" s="426"/>
      <c r="D5" s="30"/>
      <c r="E5" s="52" t="s">
        <v>301</v>
      </c>
      <c r="G5" s="427" t="s">
        <v>302</v>
      </c>
      <c r="H5" s="427"/>
      <c r="I5" s="54" t="s">
        <v>78</v>
      </c>
      <c r="J5" s="54" t="s">
        <v>78</v>
      </c>
      <c r="K5" s="54" t="s">
        <v>78</v>
      </c>
      <c r="L5" s="185" t="s">
        <v>78</v>
      </c>
    </row>
    <row r="6" spans="2:13" x14ac:dyDescent="0.35">
      <c r="B6" s="55">
        <f>1985</f>
        <v>1985</v>
      </c>
      <c r="C6" s="56" t="s">
        <v>84</v>
      </c>
      <c r="D6" s="57" t="str">
        <f>TEXT(DATEVALUE(C6&amp;"-"&amp;B6),"dd-mmm-yyyy")</f>
        <v>31-Mar-1985</v>
      </c>
      <c r="E6" s="58">
        <v>37.9</v>
      </c>
      <c r="G6" s="56" t="str">
        <f>C161</f>
        <v>31-Dec</v>
      </c>
      <c r="H6" s="23">
        <f>Calculator!$G$74</f>
        <v>2023</v>
      </c>
      <c r="I6" s="78" cm="1">
        <f t="array" ref="I6">(1+((_xlfn.XLOOKUP($H$6&amp;$G6,$B$6:$B$161&amp;$C$6:$C$161,$E$6:$E$161,"",0)-_xlfn.XLOOKUP(I$4&amp;$G6,$B$6:$B$161&amp;$C$6:$C$161,$E$6:$E$161,"",0))/_xlfn.XLOOKUP(I$4&amp;$G6,$B$6:$B$161&amp;$C$6:$C$161,$E$6:$E$161,"",0)))*I$3</f>
        <v>0.16222261174408414</v>
      </c>
      <c r="J6" s="78" cm="1">
        <f t="array" ref="J6">(1+((_xlfn.XLOOKUP($H$6&amp;$G6,$B$6:$B$161&amp;$C$6:$C$161,$E$6:$E$161,"",0)-_xlfn.XLOOKUP(J$4&amp;$G6,$B$6:$B$161&amp;$C$6:$C$161,$E$6:$E$161,"",0))/_xlfn.XLOOKUP(J$4&amp;$G6,$B$6:$B$161&amp;$C$6:$C$161,$E$6:$E$161,"",0)))*J$3</f>
        <v>5.8090008764241897E-2</v>
      </c>
      <c r="K6" s="78" cm="1">
        <f t="array" ref="K6">(1+((_xlfn.XLOOKUP($H$6&amp;$G6,$B$6:$B$161&amp;$C$6:$C$161,$E$6:$E$161,"",0)-_xlfn.XLOOKUP(K$4&amp;$G6,$B$6:$B$161&amp;$C$6:$C$161,$E$6:$E$161,"",0))/_xlfn.XLOOKUP(K$4&amp;$G6,$B$6:$B$161&amp;$C$6:$C$161,$E$6:$E$161,"",0)))*K$3</f>
        <v>4.40148115687993E-2</v>
      </c>
      <c r="L6" s="186" t="e" cm="1">
        <f t="array" ref="L6">(1+((_xlfn.XLOOKUP($H$6&amp;$G6,$B$6:$B$161&amp;$C$6:$C$161,$E$6:$E$161,"",0)-_xlfn.XLOOKUP(L$4&amp;$G6,$B$6:$B$161&amp;$C$6:$C$161,$E$6:$E$161,"",0))/_xlfn.XLOOKUP(L$4&amp;$G6,$B$6:$B$161&amp;$C$6:$C$161,$E$6:$E$161,"",0)))*L$3</f>
        <v>#VALUE!</v>
      </c>
    </row>
    <row r="7" spans="2:13" x14ac:dyDescent="0.35">
      <c r="B7" s="55">
        <v>1985</v>
      </c>
      <c r="C7" s="56" t="s">
        <v>85</v>
      </c>
      <c r="D7" s="57" t="str">
        <f t="shared" ref="D7:D70" si="0">TEXT(DATEVALUE(C7&amp;"-"&amp;B7),"dd-mmm-yyyy")</f>
        <v>30-Jun-1985</v>
      </c>
      <c r="E7" s="58">
        <v>38.799999999999997</v>
      </c>
      <c r="G7" s="59"/>
      <c r="I7" s="60"/>
      <c r="J7" s="60"/>
      <c r="K7" s="187"/>
      <c r="L7" s="187"/>
    </row>
    <row r="8" spans="2:13" x14ac:dyDescent="0.35">
      <c r="B8" s="55">
        <v>1985</v>
      </c>
      <c r="C8" s="56" t="s">
        <v>86</v>
      </c>
      <c r="D8" s="57" t="str">
        <f t="shared" si="0"/>
        <v>30-Sep-1985</v>
      </c>
      <c r="E8" s="58">
        <v>39.700000000000003</v>
      </c>
      <c r="K8" s="60"/>
      <c r="L8" s="425" t="s">
        <v>391</v>
      </c>
    </row>
    <row r="9" spans="2:13" x14ac:dyDescent="0.35">
      <c r="B9" s="55">
        <v>1985</v>
      </c>
      <c r="C9" s="56" t="s">
        <v>87</v>
      </c>
      <c r="D9" s="57" t="str">
        <f t="shared" si="0"/>
        <v>31-Dec-1985</v>
      </c>
      <c r="E9" s="58">
        <v>40.5</v>
      </c>
      <c r="G9" s="61"/>
      <c r="I9" s="62"/>
      <c r="J9" s="63"/>
      <c r="K9" s="60"/>
      <c r="L9" s="425"/>
    </row>
    <row r="10" spans="2:13" x14ac:dyDescent="0.35">
      <c r="B10" s="55">
        <v>1986</v>
      </c>
      <c r="C10" s="56" t="s">
        <v>84</v>
      </c>
      <c r="D10" s="57" t="str">
        <f t="shared" si="0"/>
        <v>31-Mar-1986</v>
      </c>
      <c r="E10" s="58">
        <v>41.4</v>
      </c>
      <c r="G10" s="64"/>
      <c r="H10" s="64"/>
      <c r="I10" s="182"/>
      <c r="J10" s="182"/>
      <c r="K10" s="182"/>
      <c r="L10" s="425"/>
    </row>
    <row r="11" spans="2:13" x14ac:dyDescent="0.35">
      <c r="B11" s="55">
        <v>1986</v>
      </c>
      <c r="C11" s="56" t="s">
        <v>85</v>
      </c>
      <c r="D11" s="57" t="str">
        <f t="shared" si="0"/>
        <v>30-Jun-1986</v>
      </c>
      <c r="E11" s="58">
        <v>42.1</v>
      </c>
      <c r="G11" s="64"/>
      <c r="H11" s="64"/>
      <c r="L11" s="425"/>
    </row>
    <row r="12" spans="2:13" x14ac:dyDescent="0.35">
      <c r="B12" s="55">
        <v>1986</v>
      </c>
      <c r="C12" s="56" t="s">
        <v>86</v>
      </c>
      <c r="D12" s="57" t="str">
        <f t="shared" si="0"/>
        <v>30-Sep-1986</v>
      </c>
      <c r="E12" s="58">
        <v>43.2</v>
      </c>
      <c r="G12" s="59"/>
      <c r="I12" s="65"/>
      <c r="J12" s="65"/>
      <c r="K12" s="60"/>
      <c r="L12" s="60"/>
    </row>
    <row r="13" spans="2:13" x14ac:dyDescent="0.35">
      <c r="B13" s="55">
        <v>1986</v>
      </c>
      <c r="C13" s="56" t="s">
        <v>87</v>
      </c>
      <c r="D13" s="57" t="str">
        <f t="shared" si="0"/>
        <v>31-Dec-1986</v>
      </c>
      <c r="E13" s="58">
        <v>44.4</v>
      </c>
      <c r="G13" s="59"/>
      <c r="I13" s="60"/>
      <c r="J13" s="60"/>
      <c r="K13" s="60"/>
      <c r="L13" s="60"/>
    </row>
    <row r="14" spans="2:13" x14ac:dyDescent="0.35">
      <c r="B14" s="55">
        <v>1987</v>
      </c>
      <c r="C14" s="56" t="s">
        <v>84</v>
      </c>
      <c r="D14" s="57" t="str">
        <f t="shared" si="0"/>
        <v>31-Mar-1987</v>
      </c>
      <c r="E14" s="58">
        <v>45.3</v>
      </c>
      <c r="G14" s="59"/>
      <c r="J14" s="60"/>
      <c r="K14" s="60"/>
      <c r="L14" s="60"/>
    </row>
    <row r="15" spans="2:13" x14ac:dyDescent="0.35">
      <c r="B15" s="55">
        <v>1987</v>
      </c>
      <c r="C15" s="56" t="s">
        <v>85</v>
      </c>
      <c r="D15" s="57" t="str">
        <f t="shared" si="0"/>
        <v>30-Jun-1987</v>
      </c>
      <c r="E15" s="58">
        <v>46</v>
      </c>
      <c r="G15" s="59"/>
      <c r="I15" s="60"/>
      <c r="J15" s="60"/>
      <c r="K15" s="60"/>
      <c r="L15" s="60"/>
    </row>
    <row r="16" spans="2:13" x14ac:dyDescent="0.35">
      <c r="B16" s="55">
        <v>1987</v>
      </c>
      <c r="C16" s="56" t="s">
        <v>86</v>
      </c>
      <c r="D16" s="57" t="str">
        <f t="shared" si="0"/>
        <v>30-Sep-1987</v>
      </c>
      <c r="E16" s="58">
        <v>46.8</v>
      </c>
      <c r="G16" s="59"/>
      <c r="L16" s="60"/>
    </row>
    <row r="17" spans="2:12" x14ac:dyDescent="0.35">
      <c r="B17" s="55">
        <v>1987</v>
      </c>
      <c r="C17" s="56" t="s">
        <v>87</v>
      </c>
      <c r="D17" s="57" t="str">
        <f t="shared" si="0"/>
        <v>31-Dec-1987</v>
      </c>
      <c r="E17" s="58">
        <v>47.6</v>
      </c>
      <c r="G17" s="59"/>
      <c r="L17" s="60"/>
    </row>
    <row r="18" spans="2:12" x14ac:dyDescent="0.35">
      <c r="B18" s="55">
        <v>1988</v>
      </c>
      <c r="C18" s="56" t="s">
        <v>84</v>
      </c>
      <c r="D18" s="57" t="str">
        <f t="shared" si="0"/>
        <v>31-Mar-1988</v>
      </c>
      <c r="E18" s="58">
        <v>48.4</v>
      </c>
      <c r="G18" s="59"/>
      <c r="L18" s="60"/>
    </row>
    <row r="19" spans="2:12" x14ac:dyDescent="0.35">
      <c r="B19" s="55">
        <v>1988</v>
      </c>
      <c r="C19" s="56" t="s">
        <v>85</v>
      </c>
      <c r="D19" s="57" t="str">
        <f t="shared" si="0"/>
        <v>30-Jun-1988</v>
      </c>
      <c r="E19" s="58">
        <v>49.3</v>
      </c>
      <c r="G19" s="59"/>
      <c r="I19" s="60"/>
      <c r="J19" s="60"/>
      <c r="K19" s="60"/>
      <c r="L19" s="60"/>
    </row>
    <row r="20" spans="2:12" x14ac:dyDescent="0.35">
      <c r="B20" s="55">
        <v>1988</v>
      </c>
      <c r="C20" s="56" t="s">
        <v>86</v>
      </c>
      <c r="D20" s="57" t="str">
        <f t="shared" si="0"/>
        <v>30-Sep-1988</v>
      </c>
      <c r="E20" s="58">
        <v>50.2</v>
      </c>
      <c r="G20" s="59"/>
      <c r="I20" s="60"/>
      <c r="J20" s="60"/>
      <c r="K20" s="60"/>
      <c r="L20" s="60"/>
    </row>
    <row r="21" spans="2:12" x14ac:dyDescent="0.35">
      <c r="B21" s="55">
        <v>1988</v>
      </c>
      <c r="C21" s="56" t="s">
        <v>87</v>
      </c>
      <c r="D21" s="57" t="str">
        <f t="shared" si="0"/>
        <v>31-Dec-1988</v>
      </c>
      <c r="E21" s="58">
        <v>51.2</v>
      </c>
      <c r="G21" s="59"/>
      <c r="I21" s="60"/>
      <c r="J21" s="60"/>
      <c r="K21" s="60"/>
      <c r="L21" s="60"/>
    </row>
    <row r="22" spans="2:12" x14ac:dyDescent="0.35">
      <c r="B22" s="55">
        <v>1989</v>
      </c>
      <c r="C22" s="56" t="s">
        <v>84</v>
      </c>
      <c r="D22" s="57" t="str">
        <f t="shared" si="0"/>
        <v>31-Mar-1989</v>
      </c>
      <c r="E22" s="58">
        <v>51.7</v>
      </c>
      <c r="G22" s="59"/>
      <c r="I22" s="60"/>
      <c r="J22" s="60"/>
      <c r="K22" s="60"/>
      <c r="L22" s="60"/>
    </row>
    <row r="23" spans="2:12" x14ac:dyDescent="0.35">
      <c r="B23" s="55">
        <v>1989</v>
      </c>
      <c r="C23" s="56" t="s">
        <v>85</v>
      </c>
      <c r="D23" s="57" t="str">
        <f t="shared" si="0"/>
        <v>30-Jun-1989</v>
      </c>
      <c r="E23" s="58">
        <v>53</v>
      </c>
      <c r="G23" s="59"/>
      <c r="I23" s="60"/>
      <c r="J23" s="60"/>
      <c r="K23" s="60"/>
      <c r="L23" s="60"/>
    </row>
    <row r="24" spans="2:12" x14ac:dyDescent="0.35">
      <c r="B24" s="55">
        <v>1989</v>
      </c>
      <c r="C24" s="56" t="s">
        <v>86</v>
      </c>
      <c r="D24" s="57" t="str">
        <f t="shared" si="0"/>
        <v>30-Sep-1989</v>
      </c>
      <c r="E24" s="58">
        <v>54.2</v>
      </c>
      <c r="G24" s="59"/>
      <c r="I24" s="60"/>
      <c r="J24" s="60"/>
      <c r="K24" s="60"/>
      <c r="L24" s="60"/>
    </row>
    <row r="25" spans="2:12" x14ac:dyDescent="0.35">
      <c r="B25" s="55">
        <v>1989</v>
      </c>
      <c r="C25" s="56" t="s">
        <v>87</v>
      </c>
      <c r="D25" s="57" t="str">
        <f t="shared" si="0"/>
        <v>31-Dec-1989</v>
      </c>
      <c r="E25" s="58">
        <v>55.2</v>
      </c>
      <c r="G25" s="59"/>
      <c r="I25" s="60"/>
      <c r="J25" s="60"/>
      <c r="K25" s="60"/>
      <c r="L25" s="60"/>
    </row>
    <row r="26" spans="2:12" x14ac:dyDescent="0.35">
      <c r="B26" s="55">
        <v>1990</v>
      </c>
      <c r="C26" s="56" t="s">
        <v>84</v>
      </c>
      <c r="D26" s="57" t="str">
        <f t="shared" si="0"/>
        <v>31-Mar-1990</v>
      </c>
      <c r="E26" s="58">
        <v>56.2</v>
      </c>
      <c r="G26" s="59"/>
      <c r="I26" s="60"/>
      <c r="J26" s="60"/>
      <c r="K26" s="60"/>
      <c r="L26" s="60"/>
    </row>
    <row r="27" spans="2:12" x14ac:dyDescent="0.35">
      <c r="B27" s="55">
        <v>1990</v>
      </c>
      <c r="C27" s="56" t="s">
        <v>85</v>
      </c>
      <c r="D27" s="57" t="str">
        <f t="shared" si="0"/>
        <v>30-Jun-1990</v>
      </c>
      <c r="E27" s="58">
        <v>57.1</v>
      </c>
      <c r="G27" s="59"/>
      <c r="I27" s="60"/>
      <c r="J27" s="60"/>
      <c r="K27" s="60"/>
      <c r="L27" s="60"/>
    </row>
    <row r="28" spans="2:12" x14ac:dyDescent="0.35">
      <c r="B28" s="55">
        <v>1990</v>
      </c>
      <c r="C28" s="56" t="s">
        <v>86</v>
      </c>
      <c r="D28" s="57" t="str">
        <f t="shared" si="0"/>
        <v>30-Sep-1990</v>
      </c>
      <c r="E28" s="58">
        <v>57.5</v>
      </c>
      <c r="G28" s="59"/>
      <c r="I28" s="60"/>
      <c r="J28" s="60"/>
      <c r="K28" s="60"/>
      <c r="L28" s="60"/>
    </row>
    <row r="29" spans="2:12" x14ac:dyDescent="0.35">
      <c r="B29" s="55">
        <v>1990</v>
      </c>
      <c r="C29" s="56" t="s">
        <v>87</v>
      </c>
      <c r="D29" s="57" t="str">
        <f t="shared" si="0"/>
        <v>31-Dec-1990</v>
      </c>
      <c r="E29" s="58">
        <v>59</v>
      </c>
      <c r="G29" s="59"/>
      <c r="I29" s="60"/>
      <c r="J29" s="60"/>
      <c r="K29" s="60"/>
      <c r="L29" s="60"/>
    </row>
    <row r="30" spans="2:12" x14ac:dyDescent="0.35">
      <c r="B30" s="55">
        <v>1991</v>
      </c>
      <c r="C30" s="56" t="s">
        <v>84</v>
      </c>
      <c r="D30" s="57" t="str">
        <f t="shared" si="0"/>
        <v>31-Mar-1991</v>
      </c>
      <c r="E30" s="58">
        <v>58.9</v>
      </c>
      <c r="G30" s="59"/>
      <c r="I30" s="60"/>
      <c r="J30" s="60"/>
      <c r="K30" s="60"/>
      <c r="L30" s="60"/>
    </row>
    <row r="31" spans="2:12" x14ac:dyDescent="0.35">
      <c r="B31" s="55">
        <v>1991</v>
      </c>
      <c r="C31" s="56" t="s">
        <v>85</v>
      </c>
      <c r="D31" s="57" t="str">
        <f t="shared" si="0"/>
        <v>30-Jun-1991</v>
      </c>
      <c r="E31" s="58">
        <v>59</v>
      </c>
      <c r="G31" s="59"/>
      <c r="I31" s="60"/>
      <c r="J31" s="60"/>
      <c r="K31" s="60"/>
      <c r="L31" s="60"/>
    </row>
    <row r="32" spans="2:12" x14ac:dyDescent="0.35">
      <c r="B32" s="55">
        <v>1991</v>
      </c>
      <c r="C32" s="56" t="s">
        <v>86</v>
      </c>
      <c r="D32" s="57" t="str">
        <f t="shared" si="0"/>
        <v>30-Sep-1991</v>
      </c>
      <c r="E32" s="58">
        <v>59.3</v>
      </c>
      <c r="G32" s="59"/>
      <c r="I32" s="60"/>
      <c r="J32" s="60"/>
      <c r="K32" s="60"/>
      <c r="L32" s="60"/>
    </row>
    <row r="33" spans="2:12" x14ac:dyDescent="0.35">
      <c r="B33" s="55">
        <v>1991</v>
      </c>
      <c r="C33" s="56" t="s">
        <v>87</v>
      </c>
      <c r="D33" s="57" t="str">
        <f t="shared" si="0"/>
        <v>31-Dec-1991</v>
      </c>
      <c r="E33" s="58">
        <v>59.9</v>
      </c>
      <c r="G33" s="59"/>
      <c r="I33" s="60"/>
      <c r="J33" s="60"/>
      <c r="K33" s="60"/>
      <c r="L33" s="60"/>
    </row>
    <row r="34" spans="2:12" x14ac:dyDescent="0.35">
      <c r="B34" s="55">
        <v>1992</v>
      </c>
      <c r="C34" s="56" t="s">
        <v>84</v>
      </c>
      <c r="D34" s="57" t="str">
        <f t="shared" si="0"/>
        <v>31-Mar-1992</v>
      </c>
      <c r="E34" s="58">
        <v>59.9</v>
      </c>
      <c r="G34" s="59"/>
      <c r="I34" s="60"/>
      <c r="J34" s="60"/>
      <c r="K34" s="60"/>
      <c r="L34" s="60"/>
    </row>
    <row r="35" spans="2:12" x14ac:dyDescent="0.35">
      <c r="B35" s="55">
        <v>1992</v>
      </c>
      <c r="C35" s="56" t="s">
        <v>85</v>
      </c>
      <c r="D35" s="57" t="str">
        <f t="shared" si="0"/>
        <v>30-Jun-1992</v>
      </c>
      <c r="E35" s="58">
        <v>59.7</v>
      </c>
      <c r="G35" s="59"/>
      <c r="I35" s="60"/>
      <c r="J35" s="60"/>
      <c r="K35" s="60"/>
      <c r="L35" s="60"/>
    </row>
    <row r="36" spans="2:12" x14ac:dyDescent="0.35">
      <c r="B36" s="55">
        <v>1992</v>
      </c>
      <c r="C36" s="56" t="s">
        <v>86</v>
      </c>
      <c r="D36" s="57" t="str">
        <f t="shared" si="0"/>
        <v>30-Sep-1992</v>
      </c>
      <c r="E36" s="58">
        <v>59.8</v>
      </c>
      <c r="G36" s="59"/>
      <c r="I36" s="60"/>
      <c r="J36" s="60"/>
      <c r="K36" s="60"/>
      <c r="L36" s="60"/>
    </row>
    <row r="37" spans="2:12" x14ac:dyDescent="0.35">
      <c r="B37" s="55">
        <v>1992</v>
      </c>
      <c r="C37" s="56" t="s">
        <v>87</v>
      </c>
      <c r="D37" s="57" t="str">
        <f t="shared" si="0"/>
        <v>31-Dec-1992</v>
      </c>
      <c r="E37" s="58">
        <v>60.1</v>
      </c>
      <c r="G37" s="59"/>
      <c r="I37" s="60"/>
      <c r="J37" s="60"/>
      <c r="K37" s="60"/>
      <c r="L37" s="60"/>
    </row>
    <row r="38" spans="2:12" x14ac:dyDescent="0.35">
      <c r="B38" s="55">
        <v>1993</v>
      </c>
      <c r="C38" s="56" t="s">
        <v>84</v>
      </c>
      <c r="D38" s="57" t="str">
        <f t="shared" si="0"/>
        <v>31-Mar-1993</v>
      </c>
      <c r="E38" s="58">
        <v>60.6</v>
      </c>
      <c r="G38" s="59"/>
      <c r="I38" s="60"/>
      <c r="J38" s="60"/>
      <c r="K38" s="60"/>
      <c r="L38" s="60"/>
    </row>
    <row r="39" spans="2:12" x14ac:dyDescent="0.35">
      <c r="B39" s="55">
        <v>1993</v>
      </c>
      <c r="C39" s="56" t="s">
        <v>85</v>
      </c>
      <c r="D39" s="57" t="str">
        <f t="shared" si="0"/>
        <v>30-Jun-1993</v>
      </c>
      <c r="E39" s="58">
        <v>60.8</v>
      </c>
      <c r="G39" s="59"/>
      <c r="I39" s="60"/>
      <c r="J39" s="60"/>
      <c r="K39" s="60"/>
      <c r="L39" s="60"/>
    </row>
    <row r="40" spans="2:12" x14ac:dyDescent="0.35">
      <c r="B40" s="55">
        <v>1993</v>
      </c>
      <c r="C40" s="56" t="s">
        <v>86</v>
      </c>
      <c r="D40" s="57" t="str">
        <f t="shared" si="0"/>
        <v>30-Sep-1993</v>
      </c>
      <c r="E40" s="58">
        <v>61.1</v>
      </c>
      <c r="G40" s="59"/>
      <c r="I40" s="60"/>
      <c r="J40" s="60"/>
      <c r="K40" s="60"/>
      <c r="L40" s="60"/>
    </row>
    <row r="41" spans="2:12" x14ac:dyDescent="0.35">
      <c r="B41" s="55">
        <v>1993</v>
      </c>
      <c r="C41" s="56" t="s">
        <v>87</v>
      </c>
      <c r="D41" s="57" t="str">
        <f t="shared" si="0"/>
        <v>31-Dec-1993</v>
      </c>
      <c r="E41" s="58">
        <v>61.2</v>
      </c>
    </row>
    <row r="42" spans="2:12" x14ac:dyDescent="0.35">
      <c r="B42" s="55">
        <v>1994</v>
      </c>
      <c r="C42" s="56" t="s">
        <v>84</v>
      </c>
      <c r="D42" s="57" t="str">
        <f t="shared" si="0"/>
        <v>31-Mar-1994</v>
      </c>
      <c r="E42" s="58">
        <v>61.5</v>
      </c>
    </row>
    <row r="43" spans="2:12" x14ac:dyDescent="0.35">
      <c r="B43" s="55">
        <v>1994</v>
      </c>
      <c r="C43" s="56" t="s">
        <v>85</v>
      </c>
      <c r="D43" s="57" t="str">
        <f t="shared" si="0"/>
        <v>30-Jun-1994</v>
      </c>
      <c r="E43" s="58">
        <v>61.9</v>
      </c>
    </row>
    <row r="44" spans="2:12" x14ac:dyDescent="0.35">
      <c r="B44" s="55">
        <v>1994</v>
      </c>
      <c r="C44" s="56" t="s">
        <v>86</v>
      </c>
      <c r="D44" s="57" t="str">
        <f t="shared" si="0"/>
        <v>30-Sep-1994</v>
      </c>
      <c r="E44" s="58">
        <v>62.3</v>
      </c>
    </row>
    <row r="45" spans="2:12" x14ac:dyDescent="0.35">
      <c r="B45" s="55">
        <v>1994</v>
      </c>
      <c r="C45" s="56" t="s">
        <v>87</v>
      </c>
      <c r="D45" s="57" t="str">
        <f t="shared" si="0"/>
        <v>31-Dec-1994</v>
      </c>
      <c r="E45" s="58">
        <v>62.8</v>
      </c>
    </row>
    <row r="46" spans="2:12" x14ac:dyDescent="0.35">
      <c r="B46" s="55">
        <v>1995</v>
      </c>
      <c r="C46" s="56" t="s">
        <v>84</v>
      </c>
      <c r="D46" s="57" t="str">
        <f t="shared" si="0"/>
        <v>31-Mar-1995</v>
      </c>
      <c r="E46" s="58">
        <v>63.8</v>
      </c>
    </row>
    <row r="47" spans="2:12" x14ac:dyDescent="0.35">
      <c r="B47" s="55">
        <v>1995</v>
      </c>
      <c r="C47" s="56" t="s">
        <v>85</v>
      </c>
      <c r="D47" s="57" t="str">
        <f t="shared" si="0"/>
        <v>30-Jun-1995</v>
      </c>
      <c r="E47" s="58">
        <v>64.7</v>
      </c>
      <c r="I47" s="66"/>
      <c r="J47" s="67"/>
      <c r="K47" s="66"/>
      <c r="L47" s="66"/>
    </row>
    <row r="48" spans="2:12" x14ac:dyDescent="0.35">
      <c r="B48" s="55">
        <v>1995</v>
      </c>
      <c r="C48" s="56" t="s">
        <v>86</v>
      </c>
      <c r="D48" s="57" t="str">
        <f t="shared" si="0"/>
        <v>30-Sep-1995</v>
      </c>
      <c r="E48" s="58">
        <v>65.5</v>
      </c>
      <c r="I48" s="68"/>
      <c r="J48" s="69"/>
      <c r="K48" s="68"/>
      <c r="L48" s="68"/>
    </row>
    <row r="49" spans="2:12" x14ac:dyDescent="0.35">
      <c r="B49" s="55">
        <v>1995</v>
      </c>
      <c r="C49" s="56" t="s">
        <v>87</v>
      </c>
      <c r="D49" s="57" t="str">
        <f t="shared" si="0"/>
        <v>31-Dec-1995</v>
      </c>
      <c r="E49" s="58">
        <v>66</v>
      </c>
      <c r="I49" s="66"/>
      <c r="J49" s="67"/>
      <c r="K49" s="70"/>
      <c r="L49" s="71"/>
    </row>
    <row r="50" spans="2:12" x14ac:dyDescent="0.35">
      <c r="B50" s="55">
        <v>1996</v>
      </c>
      <c r="C50" s="56" t="s">
        <v>84</v>
      </c>
      <c r="D50" s="57" t="str">
        <f t="shared" si="0"/>
        <v>31-Mar-1996</v>
      </c>
      <c r="E50" s="58">
        <v>66.2</v>
      </c>
      <c r="I50" s="66"/>
      <c r="J50" s="67"/>
      <c r="K50" s="70"/>
      <c r="L50" s="71"/>
    </row>
    <row r="51" spans="2:12" x14ac:dyDescent="0.35">
      <c r="B51" s="55">
        <v>1996</v>
      </c>
      <c r="C51" s="56" t="s">
        <v>85</v>
      </c>
      <c r="D51" s="57" t="str">
        <f t="shared" si="0"/>
        <v>30-Jun-1996</v>
      </c>
      <c r="E51" s="58">
        <v>66.7</v>
      </c>
      <c r="I51" s="66"/>
      <c r="J51" s="67"/>
      <c r="K51" s="70"/>
      <c r="L51" s="71"/>
    </row>
    <row r="52" spans="2:12" x14ac:dyDescent="0.35">
      <c r="B52" s="55">
        <v>1996</v>
      </c>
      <c r="C52" s="56" t="s">
        <v>86</v>
      </c>
      <c r="D52" s="57" t="str">
        <f t="shared" si="0"/>
        <v>30-Sep-1996</v>
      </c>
      <c r="E52" s="58">
        <v>66.900000000000006</v>
      </c>
      <c r="I52" s="66"/>
      <c r="J52" s="67"/>
      <c r="K52" s="70"/>
      <c r="L52" s="71"/>
    </row>
    <row r="53" spans="2:12" x14ac:dyDescent="0.35">
      <c r="B53" s="55">
        <v>1996</v>
      </c>
      <c r="C53" s="56" t="s">
        <v>87</v>
      </c>
      <c r="D53" s="57" t="str">
        <f t="shared" si="0"/>
        <v>31-Dec-1996</v>
      </c>
      <c r="E53" s="58">
        <v>67</v>
      </c>
      <c r="I53" s="66"/>
      <c r="J53" s="72"/>
      <c r="K53" s="70"/>
      <c r="L53" s="71"/>
    </row>
    <row r="54" spans="2:12" x14ac:dyDescent="0.35">
      <c r="B54" s="55">
        <v>1997</v>
      </c>
      <c r="C54" s="56" t="s">
        <v>84</v>
      </c>
      <c r="D54" s="57" t="str">
        <f t="shared" si="0"/>
        <v>31-Mar-1997</v>
      </c>
      <c r="E54" s="58">
        <v>67.099999999999994</v>
      </c>
      <c r="I54" s="66"/>
      <c r="J54" s="72"/>
      <c r="K54" s="70"/>
      <c r="L54" s="71"/>
    </row>
    <row r="55" spans="2:12" x14ac:dyDescent="0.35">
      <c r="B55" s="55">
        <v>1997</v>
      </c>
      <c r="C55" s="56" t="s">
        <v>85</v>
      </c>
      <c r="D55" s="57" t="str">
        <f t="shared" si="0"/>
        <v>30-Jun-1997</v>
      </c>
      <c r="E55" s="58">
        <v>66.900000000000006</v>
      </c>
      <c r="I55" s="66"/>
      <c r="J55" s="67"/>
      <c r="K55" s="66"/>
      <c r="L55" s="66"/>
    </row>
    <row r="56" spans="2:12" x14ac:dyDescent="0.35">
      <c r="B56" s="55">
        <v>1997</v>
      </c>
      <c r="C56" s="56" t="s">
        <v>86</v>
      </c>
      <c r="D56" s="57" t="str">
        <f t="shared" si="0"/>
        <v>30-Sep-1997</v>
      </c>
      <c r="E56" s="58">
        <v>66.599999999999994</v>
      </c>
      <c r="I56" s="68"/>
      <c r="J56" s="69"/>
      <c r="K56" s="68"/>
      <c r="L56" s="68"/>
    </row>
    <row r="57" spans="2:12" x14ac:dyDescent="0.35">
      <c r="B57" s="55">
        <v>1997</v>
      </c>
      <c r="C57" s="56" t="s">
        <v>87</v>
      </c>
      <c r="D57" s="57" t="str">
        <f t="shared" si="0"/>
        <v>31-Dec-1997</v>
      </c>
      <c r="E57" s="58">
        <v>66.8</v>
      </c>
      <c r="I57" s="66"/>
      <c r="J57" s="73"/>
      <c r="K57" s="70"/>
      <c r="L57" s="71"/>
    </row>
    <row r="58" spans="2:12" x14ac:dyDescent="0.35">
      <c r="B58" s="55">
        <v>1998</v>
      </c>
      <c r="C58" s="56" t="s">
        <v>84</v>
      </c>
      <c r="D58" s="57" t="str">
        <f t="shared" si="0"/>
        <v>31-Mar-1998</v>
      </c>
      <c r="E58" s="58">
        <v>67</v>
      </c>
      <c r="I58" s="66"/>
      <c r="J58" s="74"/>
      <c r="K58" s="70"/>
      <c r="L58" s="71"/>
    </row>
    <row r="59" spans="2:12" x14ac:dyDescent="0.35">
      <c r="B59" s="55">
        <v>1998</v>
      </c>
      <c r="C59" s="56" t="s">
        <v>85</v>
      </c>
      <c r="D59" s="57" t="str">
        <f t="shared" si="0"/>
        <v>30-Jun-1998</v>
      </c>
      <c r="E59" s="58">
        <v>67.400000000000006</v>
      </c>
      <c r="I59" s="66"/>
      <c r="J59" s="74"/>
      <c r="K59" s="66"/>
      <c r="L59" s="71"/>
    </row>
    <row r="60" spans="2:12" x14ac:dyDescent="0.35">
      <c r="B60" s="55">
        <v>1998</v>
      </c>
      <c r="C60" s="56" t="s">
        <v>86</v>
      </c>
      <c r="D60" s="57" t="str">
        <f t="shared" si="0"/>
        <v>30-Sep-1998</v>
      </c>
      <c r="E60" s="58">
        <v>67.5</v>
      </c>
      <c r="I60" s="66"/>
      <c r="J60" s="67"/>
      <c r="K60" s="66"/>
      <c r="L60" s="66"/>
    </row>
    <row r="61" spans="2:12" x14ac:dyDescent="0.35">
      <c r="B61" s="55">
        <v>1998</v>
      </c>
      <c r="C61" s="56" t="s">
        <v>87</v>
      </c>
      <c r="D61" s="57" t="str">
        <f t="shared" si="0"/>
        <v>31-Dec-1998</v>
      </c>
      <c r="E61" s="58">
        <v>67.8</v>
      </c>
      <c r="I61" s="68"/>
      <c r="J61" s="68"/>
      <c r="K61" s="68"/>
      <c r="L61" s="68"/>
    </row>
    <row r="62" spans="2:12" x14ac:dyDescent="0.35">
      <c r="B62" s="55">
        <v>1999</v>
      </c>
      <c r="C62" s="56" t="s">
        <v>84</v>
      </c>
      <c r="D62" s="57" t="str">
        <f t="shared" si="0"/>
        <v>31-Mar-1999</v>
      </c>
      <c r="E62" s="58">
        <v>67.8</v>
      </c>
      <c r="I62" s="66"/>
      <c r="J62" s="75"/>
      <c r="K62" s="70"/>
      <c r="L62" s="71"/>
    </row>
    <row r="63" spans="2:12" x14ac:dyDescent="0.35">
      <c r="B63" s="55">
        <v>1999</v>
      </c>
      <c r="C63" s="56" t="s">
        <v>85</v>
      </c>
      <c r="D63" s="57" t="str">
        <f t="shared" si="0"/>
        <v>30-Jun-1999</v>
      </c>
      <c r="E63" s="58">
        <v>68.099999999999994</v>
      </c>
      <c r="I63" s="66"/>
      <c r="J63" s="75"/>
      <c r="K63" s="66"/>
      <c r="L63" s="71"/>
    </row>
    <row r="64" spans="2:12" x14ac:dyDescent="0.35">
      <c r="B64" s="55">
        <v>1999</v>
      </c>
      <c r="C64" s="56" t="s">
        <v>86</v>
      </c>
      <c r="D64" s="57" t="str">
        <f t="shared" si="0"/>
        <v>30-Sep-1999</v>
      </c>
      <c r="E64" s="58">
        <v>68.7</v>
      </c>
      <c r="I64" s="66"/>
      <c r="J64" s="75"/>
      <c r="K64" s="70"/>
      <c r="L64" s="71"/>
    </row>
    <row r="65" spans="2:12" x14ac:dyDescent="0.35">
      <c r="B65" s="55">
        <v>1999</v>
      </c>
      <c r="C65" s="56" t="s">
        <v>87</v>
      </c>
      <c r="D65" s="57" t="str">
        <f t="shared" si="0"/>
        <v>31-Dec-1999</v>
      </c>
      <c r="E65" s="58">
        <v>69.099999999999994</v>
      </c>
      <c r="I65" s="66"/>
      <c r="J65" s="75"/>
      <c r="K65" s="76"/>
      <c r="L65" s="71"/>
    </row>
    <row r="66" spans="2:12" x14ac:dyDescent="0.35">
      <c r="B66" s="55">
        <v>2000</v>
      </c>
      <c r="C66" s="56" t="s">
        <v>84</v>
      </c>
      <c r="D66" s="57" t="str">
        <f t="shared" si="0"/>
        <v>31-Mar-2000</v>
      </c>
      <c r="E66" s="58">
        <v>69.7</v>
      </c>
      <c r="I66" s="66"/>
      <c r="J66" s="75"/>
      <c r="K66" s="70"/>
      <c r="L66" s="71"/>
    </row>
    <row r="67" spans="2:12" x14ac:dyDescent="0.35">
      <c r="B67" s="55">
        <v>2000</v>
      </c>
      <c r="C67" s="56" t="s">
        <v>85</v>
      </c>
      <c r="D67" s="57" t="str">
        <f t="shared" si="0"/>
        <v>30-Jun-2000</v>
      </c>
      <c r="E67" s="58">
        <v>70.2</v>
      </c>
      <c r="I67" s="66"/>
      <c r="J67" s="75"/>
      <c r="K67" s="66"/>
      <c r="L67" s="71"/>
    </row>
    <row r="68" spans="2:12" x14ac:dyDescent="0.35">
      <c r="B68" s="55">
        <v>2000</v>
      </c>
      <c r="C68" s="56" t="s">
        <v>86</v>
      </c>
      <c r="D68" s="57" t="str">
        <f t="shared" si="0"/>
        <v>30-Sep-2000</v>
      </c>
      <c r="E68" s="58">
        <v>72.900000000000006</v>
      </c>
    </row>
    <row r="69" spans="2:12" x14ac:dyDescent="0.35">
      <c r="B69" s="55">
        <v>2000</v>
      </c>
      <c r="C69" s="56" t="s">
        <v>87</v>
      </c>
      <c r="D69" s="57" t="str">
        <f t="shared" si="0"/>
        <v>31-Dec-2000</v>
      </c>
      <c r="E69" s="58">
        <v>73.099999999999994</v>
      </c>
    </row>
    <row r="70" spans="2:12" x14ac:dyDescent="0.35">
      <c r="B70" s="55">
        <v>2001</v>
      </c>
      <c r="C70" s="56" t="s">
        <v>84</v>
      </c>
      <c r="D70" s="57" t="str">
        <f t="shared" si="0"/>
        <v>31-Mar-2001</v>
      </c>
      <c r="E70" s="58">
        <v>73.900000000000006</v>
      </c>
    </row>
    <row r="71" spans="2:12" x14ac:dyDescent="0.35">
      <c r="B71" s="55">
        <v>2001</v>
      </c>
      <c r="C71" s="56" t="s">
        <v>85</v>
      </c>
      <c r="D71" s="57" t="str">
        <f t="shared" ref="D71:D134" si="1">TEXT(DATEVALUE(C71&amp;"-"&amp;B71),"dd-mmm-yyyy")</f>
        <v>30-Jun-2001</v>
      </c>
      <c r="E71" s="58">
        <v>74.5</v>
      </c>
    </row>
    <row r="72" spans="2:12" x14ac:dyDescent="0.35">
      <c r="B72" s="55">
        <v>2001</v>
      </c>
      <c r="C72" s="56" t="s">
        <v>86</v>
      </c>
      <c r="D72" s="57" t="str">
        <f t="shared" si="1"/>
        <v>30-Sep-2001</v>
      </c>
      <c r="E72" s="58">
        <v>74.7</v>
      </c>
    </row>
    <row r="73" spans="2:12" x14ac:dyDescent="0.35">
      <c r="B73" s="55">
        <v>2001</v>
      </c>
      <c r="C73" s="56" t="s">
        <v>87</v>
      </c>
      <c r="D73" s="57" t="str">
        <f t="shared" si="1"/>
        <v>31-Dec-2001</v>
      </c>
      <c r="E73" s="58">
        <v>75.400000000000006</v>
      </c>
    </row>
    <row r="74" spans="2:12" x14ac:dyDescent="0.35">
      <c r="B74" s="55">
        <v>2002</v>
      </c>
      <c r="C74" s="56" t="s">
        <v>84</v>
      </c>
      <c r="D74" s="57" t="str">
        <f t="shared" si="1"/>
        <v>31-Mar-2002</v>
      </c>
      <c r="E74" s="58">
        <v>76.099999999999994</v>
      </c>
    </row>
    <row r="75" spans="2:12" x14ac:dyDescent="0.35">
      <c r="B75" s="55">
        <v>2002</v>
      </c>
      <c r="C75" s="56" t="s">
        <v>85</v>
      </c>
      <c r="D75" s="57" t="str">
        <f t="shared" si="1"/>
        <v>30-Jun-2002</v>
      </c>
      <c r="E75" s="58">
        <v>76.599999999999994</v>
      </c>
    </row>
    <row r="76" spans="2:12" x14ac:dyDescent="0.35">
      <c r="B76" s="55">
        <v>2002</v>
      </c>
      <c r="C76" s="56" t="s">
        <v>86</v>
      </c>
      <c r="D76" s="57" t="str">
        <f t="shared" si="1"/>
        <v>30-Sep-2002</v>
      </c>
      <c r="E76" s="58">
        <v>77.099999999999994</v>
      </c>
    </row>
    <row r="77" spans="2:12" x14ac:dyDescent="0.35">
      <c r="B77" s="55">
        <v>2002</v>
      </c>
      <c r="C77" s="56" t="s">
        <v>87</v>
      </c>
      <c r="D77" s="57" t="str">
        <f t="shared" si="1"/>
        <v>31-Dec-2002</v>
      </c>
      <c r="E77" s="58">
        <v>77.599999999999994</v>
      </c>
    </row>
    <row r="78" spans="2:12" x14ac:dyDescent="0.35">
      <c r="B78" s="55">
        <v>2003</v>
      </c>
      <c r="C78" s="56" t="s">
        <v>84</v>
      </c>
      <c r="D78" s="57" t="str">
        <f t="shared" si="1"/>
        <v>31-Mar-2003</v>
      </c>
      <c r="E78" s="58">
        <v>78.599999999999994</v>
      </c>
    </row>
    <row r="79" spans="2:12" x14ac:dyDescent="0.35">
      <c r="B79" s="55">
        <v>2003</v>
      </c>
      <c r="C79" s="56" t="s">
        <v>85</v>
      </c>
      <c r="D79" s="57" t="str">
        <f t="shared" si="1"/>
        <v>30-Jun-2003</v>
      </c>
      <c r="E79" s="58">
        <v>78.599999999999994</v>
      </c>
    </row>
    <row r="80" spans="2:12" x14ac:dyDescent="0.35">
      <c r="B80" s="55">
        <v>2003</v>
      </c>
      <c r="C80" s="56" t="s">
        <v>86</v>
      </c>
      <c r="D80" s="57" t="str">
        <f t="shared" si="1"/>
        <v>30-Sep-2003</v>
      </c>
      <c r="E80" s="58">
        <v>79.099999999999994</v>
      </c>
    </row>
    <row r="81" spans="2:5" x14ac:dyDescent="0.35">
      <c r="B81" s="55">
        <v>2003</v>
      </c>
      <c r="C81" s="56" t="s">
        <v>87</v>
      </c>
      <c r="D81" s="57" t="str">
        <f t="shared" si="1"/>
        <v>31-Dec-2003</v>
      </c>
      <c r="E81" s="58">
        <v>79.5</v>
      </c>
    </row>
    <row r="82" spans="2:5" x14ac:dyDescent="0.35">
      <c r="B82" s="55">
        <v>2004</v>
      </c>
      <c r="C82" s="56" t="s">
        <v>84</v>
      </c>
      <c r="D82" s="57" t="str">
        <f t="shared" si="1"/>
        <v>31-Mar-2004</v>
      </c>
      <c r="E82" s="58">
        <v>80.2</v>
      </c>
    </row>
    <row r="83" spans="2:5" x14ac:dyDescent="0.35">
      <c r="B83" s="55">
        <v>2004</v>
      </c>
      <c r="C83" s="56" t="s">
        <v>85</v>
      </c>
      <c r="D83" s="57" t="str">
        <f t="shared" si="1"/>
        <v>30-Jun-2004</v>
      </c>
      <c r="E83" s="58">
        <v>80.599999999999994</v>
      </c>
    </row>
    <row r="84" spans="2:5" x14ac:dyDescent="0.35">
      <c r="B84" s="55">
        <v>2004</v>
      </c>
      <c r="C84" s="56" t="s">
        <v>86</v>
      </c>
      <c r="D84" s="57" t="str">
        <f t="shared" si="1"/>
        <v>30-Sep-2004</v>
      </c>
      <c r="E84" s="58">
        <v>80.900000000000006</v>
      </c>
    </row>
    <row r="85" spans="2:5" x14ac:dyDescent="0.35">
      <c r="B85" s="55">
        <v>2004</v>
      </c>
      <c r="C85" s="56" t="s">
        <v>87</v>
      </c>
      <c r="D85" s="57" t="str">
        <f t="shared" si="1"/>
        <v>31-Dec-2004</v>
      </c>
      <c r="E85" s="58">
        <v>81.5</v>
      </c>
    </row>
    <row r="86" spans="2:5" x14ac:dyDescent="0.35">
      <c r="B86" s="55">
        <v>2005</v>
      </c>
      <c r="C86" s="56" t="s">
        <v>84</v>
      </c>
      <c r="D86" s="57" t="str">
        <f t="shared" si="1"/>
        <v>31-Mar-2005</v>
      </c>
      <c r="E86" s="58">
        <v>82.1</v>
      </c>
    </row>
    <row r="87" spans="2:5" x14ac:dyDescent="0.35">
      <c r="B87" s="55">
        <v>2005</v>
      </c>
      <c r="C87" s="56" t="s">
        <v>85</v>
      </c>
      <c r="D87" s="57" t="str">
        <f t="shared" si="1"/>
        <v>30-Jun-2005</v>
      </c>
      <c r="E87" s="58">
        <v>82.6</v>
      </c>
    </row>
    <row r="88" spans="2:5" x14ac:dyDescent="0.35">
      <c r="B88" s="55">
        <v>2005</v>
      </c>
      <c r="C88" s="56" t="s">
        <v>86</v>
      </c>
      <c r="D88" s="57" t="str">
        <f t="shared" si="1"/>
        <v>30-Sep-2005</v>
      </c>
      <c r="E88" s="58">
        <v>83.4</v>
      </c>
    </row>
    <row r="89" spans="2:5" x14ac:dyDescent="0.35">
      <c r="B89" s="55">
        <v>2005</v>
      </c>
      <c r="C89" s="56" t="s">
        <v>87</v>
      </c>
      <c r="D89" s="57" t="str">
        <f t="shared" si="1"/>
        <v>31-Dec-2005</v>
      </c>
      <c r="E89" s="58">
        <v>83.8</v>
      </c>
    </row>
    <row r="90" spans="2:5" x14ac:dyDescent="0.35">
      <c r="B90" s="55">
        <v>2006</v>
      </c>
      <c r="C90" s="56" t="s">
        <v>84</v>
      </c>
      <c r="D90" s="57" t="str">
        <f t="shared" si="1"/>
        <v>31-Mar-2006</v>
      </c>
      <c r="E90" s="58">
        <v>84.5</v>
      </c>
    </row>
    <row r="91" spans="2:5" x14ac:dyDescent="0.35">
      <c r="B91" s="55">
        <v>2006</v>
      </c>
      <c r="C91" s="56" t="s">
        <v>85</v>
      </c>
      <c r="D91" s="57" t="str">
        <f t="shared" si="1"/>
        <v>30-Jun-2006</v>
      </c>
      <c r="E91" s="58">
        <v>85.9</v>
      </c>
    </row>
    <row r="92" spans="2:5" x14ac:dyDescent="0.35">
      <c r="B92" s="55">
        <v>2006</v>
      </c>
      <c r="C92" s="56" t="s">
        <v>86</v>
      </c>
      <c r="D92" s="57" t="str">
        <f t="shared" si="1"/>
        <v>30-Sep-2006</v>
      </c>
      <c r="E92" s="58">
        <v>86.7</v>
      </c>
    </row>
    <row r="93" spans="2:5" x14ac:dyDescent="0.35">
      <c r="B93" s="55">
        <v>2006</v>
      </c>
      <c r="C93" s="56" t="s">
        <v>87</v>
      </c>
      <c r="D93" s="57" t="str">
        <f t="shared" si="1"/>
        <v>31-Dec-2006</v>
      </c>
      <c r="E93" s="58">
        <v>86.6</v>
      </c>
    </row>
    <row r="94" spans="2:5" x14ac:dyDescent="0.35">
      <c r="B94" s="55">
        <v>2007</v>
      </c>
      <c r="C94" s="56" t="s">
        <v>84</v>
      </c>
      <c r="D94" s="57" t="str">
        <f t="shared" si="1"/>
        <v>31-Mar-2007</v>
      </c>
      <c r="E94" s="58">
        <v>86.6</v>
      </c>
    </row>
    <row r="95" spans="2:5" x14ac:dyDescent="0.35">
      <c r="B95" s="55">
        <v>2007</v>
      </c>
      <c r="C95" s="56" t="s">
        <v>85</v>
      </c>
      <c r="D95" s="57" t="str">
        <f t="shared" si="1"/>
        <v>30-Jun-2007</v>
      </c>
      <c r="E95" s="58">
        <v>87.7</v>
      </c>
    </row>
    <row r="96" spans="2:5" x14ac:dyDescent="0.35">
      <c r="B96" s="55">
        <v>2007</v>
      </c>
      <c r="C96" s="56" t="s">
        <v>86</v>
      </c>
      <c r="D96" s="57" t="str">
        <f t="shared" si="1"/>
        <v>30-Sep-2007</v>
      </c>
      <c r="E96" s="58">
        <v>88.3</v>
      </c>
    </row>
    <row r="97" spans="2:5" x14ac:dyDescent="0.35">
      <c r="B97" s="55">
        <v>2007</v>
      </c>
      <c r="C97" s="56" t="s">
        <v>87</v>
      </c>
      <c r="D97" s="57" t="str">
        <f t="shared" si="1"/>
        <v>31-Dec-2007</v>
      </c>
      <c r="E97" s="58">
        <v>89.1</v>
      </c>
    </row>
    <row r="98" spans="2:5" x14ac:dyDescent="0.35">
      <c r="B98" s="55">
        <v>2008</v>
      </c>
      <c r="C98" s="56" t="s">
        <v>84</v>
      </c>
      <c r="D98" s="57" t="str">
        <f t="shared" si="1"/>
        <v>31-Mar-2008</v>
      </c>
      <c r="E98" s="58">
        <v>90.3</v>
      </c>
    </row>
    <row r="99" spans="2:5" x14ac:dyDescent="0.35">
      <c r="B99" s="55">
        <v>2008</v>
      </c>
      <c r="C99" s="56" t="s">
        <v>85</v>
      </c>
      <c r="D99" s="57" t="str">
        <f t="shared" si="1"/>
        <v>30-Jun-2008</v>
      </c>
      <c r="E99" s="58">
        <v>91.6</v>
      </c>
    </row>
    <row r="100" spans="2:5" x14ac:dyDescent="0.35">
      <c r="B100" s="55">
        <v>2008</v>
      </c>
      <c r="C100" s="56" t="s">
        <v>86</v>
      </c>
      <c r="D100" s="57" t="str">
        <f t="shared" si="1"/>
        <v>30-Sep-2008</v>
      </c>
      <c r="E100" s="58">
        <v>92.7</v>
      </c>
    </row>
    <row r="101" spans="2:5" x14ac:dyDescent="0.35">
      <c r="B101" s="55">
        <v>2008</v>
      </c>
      <c r="C101" s="56" t="s">
        <v>87</v>
      </c>
      <c r="D101" s="57" t="str">
        <f t="shared" si="1"/>
        <v>31-Dec-2008</v>
      </c>
      <c r="E101" s="58">
        <v>92.4</v>
      </c>
    </row>
    <row r="102" spans="2:5" x14ac:dyDescent="0.35">
      <c r="B102" s="55">
        <v>2009</v>
      </c>
      <c r="C102" s="56" t="s">
        <v>84</v>
      </c>
      <c r="D102" s="57" t="str">
        <f t="shared" si="1"/>
        <v>31-Mar-2009</v>
      </c>
      <c r="E102" s="58">
        <v>92.5</v>
      </c>
    </row>
    <row r="103" spans="2:5" x14ac:dyDescent="0.35">
      <c r="B103" s="55">
        <v>2009</v>
      </c>
      <c r="C103" s="56" t="s">
        <v>85</v>
      </c>
      <c r="D103" s="57" t="str">
        <f t="shared" si="1"/>
        <v>30-Jun-2009</v>
      </c>
      <c r="E103" s="58">
        <v>92.9</v>
      </c>
    </row>
    <row r="104" spans="2:5" x14ac:dyDescent="0.35">
      <c r="B104" s="55">
        <v>2009</v>
      </c>
      <c r="C104" s="56" t="s">
        <v>86</v>
      </c>
      <c r="D104" s="57" t="str">
        <f t="shared" si="1"/>
        <v>30-Sep-2009</v>
      </c>
      <c r="E104" s="58">
        <v>93.8</v>
      </c>
    </row>
    <row r="105" spans="2:5" x14ac:dyDescent="0.35">
      <c r="B105" s="55">
        <v>2009</v>
      </c>
      <c r="C105" s="56" t="s">
        <v>87</v>
      </c>
      <c r="D105" s="57" t="str">
        <f t="shared" si="1"/>
        <v>31-Dec-2009</v>
      </c>
      <c r="E105" s="58">
        <v>94.3</v>
      </c>
    </row>
    <row r="106" spans="2:5" x14ac:dyDescent="0.35">
      <c r="B106" s="55">
        <v>2010</v>
      </c>
      <c r="C106" s="56" t="s">
        <v>84</v>
      </c>
      <c r="D106" s="57" t="str">
        <f t="shared" si="1"/>
        <v>31-Mar-2010</v>
      </c>
      <c r="E106" s="58">
        <v>95.2</v>
      </c>
    </row>
    <row r="107" spans="2:5" x14ac:dyDescent="0.35">
      <c r="B107" s="55">
        <v>2010</v>
      </c>
      <c r="C107" s="56" t="s">
        <v>85</v>
      </c>
      <c r="D107" s="57" t="str">
        <f t="shared" si="1"/>
        <v>30-Jun-2010</v>
      </c>
      <c r="E107" s="58">
        <v>95.8</v>
      </c>
    </row>
    <row r="108" spans="2:5" x14ac:dyDescent="0.35">
      <c r="B108" s="55">
        <v>2010</v>
      </c>
      <c r="C108" s="56" t="s">
        <v>86</v>
      </c>
      <c r="D108" s="57" t="str">
        <f t="shared" si="1"/>
        <v>30-Sep-2010</v>
      </c>
      <c r="E108" s="58">
        <v>96.5</v>
      </c>
    </row>
    <row r="109" spans="2:5" x14ac:dyDescent="0.35">
      <c r="B109" s="55">
        <v>2010</v>
      </c>
      <c r="C109" s="56" t="s">
        <v>87</v>
      </c>
      <c r="D109" s="57" t="str">
        <f t="shared" si="1"/>
        <v>31-Dec-2010</v>
      </c>
      <c r="E109" s="58">
        <v>96.9</v>
      </c>
    </row>
    <row r="110" spans="2:5" x14ac:dyDescent="0.35">
      <c r="B110" s="55">
        <v>2011</v>
      </c>
      <c r="C110" s="56" t="s">
        <v>84</v>
      </c>
      <c r="D110" s="57" t="str">
        <f t="shared" si="1"/>
        <v>31-Mar-2011</v>
      </c>
      <c r="E110" s="58">
        <v>98.3</v>
      </c>
    </row>
    <row r="111" spans="2:5" x14ac:dyDescent="0.35">
      <c r="B111" s="55">
        <v>2011</v>
      </c>
      <c r="C111" s="56" t="s">
        <v>85</v>
      </c>
      <c r="D111" s="57" t="str">
        <f t="shared" si="1"/>
        <v>30-Jun-2011</v>
      </c>
      <c r="E111" s="58">
        <v>99.2</v>
      </c>
    </row>
    <row r="112" spans="2:5" x14ac:dyDescent="0.35">
      <c r="B112" s="55">
        <v>2011</v>
      </c>
      <c r="C112" s="56" t="s">
        <v>86</v>
      </c>
      <c r="D112" s="57" t="str">
        <f t="shared" si="1"/>
        <v>30-Sep-2011</v>
      </c>
      <c r="E112" s="58">
        <v>99.8</v>
      </c>
    </row>
    <row r="113" spans="2:5" x14ac:dyDescent="0.35">
      <c r="B113" s="55">
        <v>2011</v>
      </c>
      <c r="C113" s="56" t="s">
        <v>87</v>
      </c>
      <c r="D113" s="57" t="str">
        <f t="shared" si="1"/>
        <v>31-Dec-2011</v>
      </c>
      <c r="E113" s="58">
        <v>99.8</v>
      </c>
    </row>
    <row r="114" spans="2:5" x14ac:dyDescent="0.35">
      <c r="B114" s="55">
        <v>2012</v>
      </c>
      <c r="C114" s="56" t="s">
        <v>84</v>
      </c>
      <c r="D114" s="57" t="str">
        <f t="shared" si="1"/>
        <v>31-Mar-2012</v>
      </c>
      <c r="E114" s="58">
        <v>99.9</v>
      </c>
    </row>
    <row r="115" spans="2:5" x14ac:dyDescent="0.35">
      <c r="B115" s="55">
        <v>2012</v>
      </c>
      <c r="C115" s="56" t="s">
        <v>85</v>
      </c>
      <c r="D115" s="57" t="str">
        <f t="shared" si="1"/>
        <v>30-Jun-2012</v>
      </c>
      <c r="E115" s="58">
        <v>100.4</v>
      </c>
    </row>
    <row r="116" spans="2:5" x14ac:dyDescent="0.35">
      <c r="B116" s="55">
        <v>2012</v>
      </c>
      <c r="C116" s="56" t="s">
        <v>86</v>
      </c>
      <c r="D116" s="57" t="str">
        <f t="shared" si="1"/>
        <v>30-Sep-2012</v>
      </c>
      <c r="E116" s="58">
        <v>101.8</v>
      </c>
    </row>
    <row r="117" spans="2:5" x14ac:dyDescent="0.35">
      <c r="B117" s="55">
        <v>2012</v>
      </c>
      <c r="C117" s="56" t="s">
        <v>87</v>
      </c>
      <c r="D117" s="57" t="str">
        <f t="shared" si="1"/>
        <v>31-Dec-2012</v>
      </c>
      <c r="E117" s="58">
        <v>102</v>
      </c>
    </row>
    <row r="118" spans="2:5" x14ac:dyDescent="0.35">
      <c r="B118" s="55">
        <v>2013</v>
      </c>
      <c r="C118" s="56" t="s">
        <v>84</v>
      </c>
      <c r="D118" s="57" t="str">
        <f t="shared" si="1"/>
        <v>31-Mar-2013</v>
      </c>
      <c r="E118" s="58">
        <v>102.4</v>
      </c>
    </row>
    <row r="119" spans="2:5" x14ac:dyDescent="0.35">
      <c r="B119" s="55">
        <v>2013</v>
      </c>
      <c r="C119" s="56" t="s">
        <v>85</v>
      </c>
      <c r="D119" s="57" t="str">
        <f t="shared" si="1"/>
        <v>30-Jun-2013</v>
      </c>
      <c r="E119" s="58">
        <v>102.8</v>
      </c>
    </row>
    <row r="120" spans="2:5" x14ac:dyDescent="0.35">
      <c r="B120" s="55">
        <v>2013</v>
      </c>
      <c r="C120" s="56" t="s">
        <v>86</v>
      </c>
      <c r="D120" s="57" t="str">
        <f t="shared" si="1"/>
        <v>30-Sep-2013</v>
      </c>
      <c r="E120" s="58">
        <v>104</v>
      </c>
    </row>
    <row r="121" spans="2:5" x14ac:dyDescent="0.35">
      <c r="B121" s="55">
        <v>2013</v>
      </c>
      <c r="C121" s="56" t="s">
        <v>87</v>
      </c>
      <c r="D121" s="57" t="str">
        <f t="shared" si="1"/>
        <v>31-Dec-2013</v>
      </c>
      <c r="E121" s="58">
        <v>104.8</v>
      </c>
    </row>
    <row r="122" spans="2:5" x14ac:dyDescent="0.35">
      <c r="B122" s="55">
        <v>2014</v>
      </c>
      <c r="C122" s="56" t="s">
        <v>84</v>
      </c>
      <c r="D122" s="57" t="str">
        <f t="shared" si="1"/>
        <v>31-Mar-2014</v>
      </c>
      <c r="E122" s="58">
        <v>105.4</v>
      </c>
    </row>
    <row r="123" spans="2:5" x14ac:dyDescent="0.35">
      <c r="B123" s="55">
        <v>2014</v>
      </c>
      <c r="C123" s="56" t="s">
        <v>85</v>
      </c>
      <c r="D123" s="57" t="str">
        <f t="shared" si="1"/>
        <v>30-Jun-2014</v>
      </c>
      <c r="E123" s="58">
        <v>105.9</v>
      </c>
    </row>
    <row r="124" spans="2:5" x14ac:dyDescent="0.35">
      <c r="B124" s="55">
        <v>2014</v>
      </c>
      <c r="C124" s="56" t="s">
        <v>86</v>
      </c>
      <c r="D124" s="57" t="str">
        <f t="shared" si="1"/>
        <v>30-Sep-2014</v>
      </c>
      <c r="E124" s="58">
        <v>106.4</v>
      </c>
    </row>
    <row r="125" spans="2:5" x14ac:dyDescent="0.35">
      <c r="B125" s="55">
        <v>2014</v>
      </c>
      <c r="C125" s="56" t="s">
        <v>87</v>
      </c>
      <c r="D125" s="57" t="str">
        <f t="shared" si="1"/>
        <v>31-Dec-2014</v>
      </c>
      <c r="E125" s="58">
        <v>106.6</v>
      </c>
    </row>
    <row r="126" spans="2:5" x14ac:dyDescent="0.35">
      <c r="B126" s="55">
        <v>2015</v>
      </c>
      <c r="C126" s="56" t="s">
        <v>84</v>
      </c>
      <c r="D126" s="57" t="str">
        <f t="shared" si="1"/>
        <v>31-Mar-2015</v>
      </c>
      <c r="E126" s="58">
        <v>106.8</v>
      </c>
    </row>
    <row r="127" spans="2:5" x14ac:dyDescent="0.35">
      <c r="B127" s="55">
        <v>2015</v>
      </c>
      <c r="C127" s="56" t="s">
        <v>85</v>
      </c>
      <c r="D127" s="57" t="str">
        <f t="shared" si="1"/>
        <v>30-Jun-2015</v>
      </c>
      <c r="E127" s="58">
        <v>107.5</v>
      </c>
    </row>
    <row r="128" spans="2:5" x14ac:dyDescent="0.35">
      <c r="B128" s="55">
        <v>2015</v>
      </c>
      <c r="C128" s="56" t="s">
        <v>86</v>
      </c>
      <c r="D128" s="57" t="str">
        <f t="shared" si="1"/>
        <v>30-Sep-2015</v>
      </c>
      <c r="E128" s="58">
        <v>108</v>
      </c>
    </row>
    <row r="129" spans="2:5" x14ac:dyDescent="0.35">
      <c r="B129" s="55">
        <v>2015</v>
      </c>
      <c r="C129" s="56" t="s">
        <v>87</v>
      </c>
      <c r="D129" s="57" t="str">
        <f t="shared" si="1"/>
        <v>31-Dec-2015</v>
      </c>
      <c r="E129" s="58">
        <v>108.4</v>
      </c>
    </row>
    <row r="130" spans="2:5" x14ac:dyDescent="0.35">
      <c r="B130" s="55">
        <v>2016</v>
      </c>
      <c r="C130" s="56" t="s">
        <v>84</v>
      </c>
      <c r="D130" s="57" t="str">
        <f t="shared" si="1"/>
        <v>31-Mar-2016</v>
      </c>
      <c r="E130" s="58">
        <v>108.2</v>
      </c>
    </row>
    <row r="131" spans="2:5" x14ac:dyDescent="0.35">
      <c r="B131" s="55">
        <v>2016</v>
      </c>
      <c r="C131" s="56" t="s">
        <v>85</v>
      </c>
      <c r="D131" s="57" t="str">
        <f t="shared" si="1"/>
        <v>30-Jun-2016</v>
      </c>
      <c r="E131" s="58">
        <v>108.6</v>
      </c>
    </row>
    <row r="132" spans="2:5" x14ac:dyDescent="0.35">
      <c r="B132" s="55">
        <v>2016</v>
      </c>
      <c r="C132" s="56" t="s">
        <v>86</v>
      </c>
      <c r="D132" s="57" t="str">
        <f t="shared" si="1"/>
        <v>30-Sep-2016</v>
      </c>
      <c r="E132" s="58">
        <v>109.4</v>
      </c>
    </row>
    <row r="133" spans="2:5" x14ac:dyDescent="0.35">
      <c r="B133" s="55">
        <v>2016</v>
      </c>
      <c r="C133" s="56" t="s">
        <v>87</v>
      </c>
      <c r="D133" s="57" t="str">
        <f t="shared" si="1"/>
        <v>31-Dec-2016</v>
      </c>
      <c r="E133" s="58">
        <v>110</v>
      </c>
    </row>
    <row r="134" spans="2:5" x14ac:dyDescent="0.35">
      <c r="B134" s="55">
        <v>2017</v>
      </c>
      <c r="C134" s="56" t="s">
        <v>84</v>
      </c>
      <c r="D134" s="57" t="str">
        <f t="shared" si="1"/>
        <v>31-Mar-2017</v>
      </c>
      <c r="E134" s="58">
        <v>110.5</v>
      </c>
    </row>
    <row r="135" spans="2:5" x14ac:dyDescent="0.35">
      <c r="B135" s="55">
        <v>2017</v>
      </c>
      <c r="C135" s="56" t="s">
        <v>85</v>
      </c>
      <c r="D135" s="57" t="str">
        <f t="shared" ref="D135:D161" si="2">TEXT(DATEVALUE(C135&amp;"-"&amp;B135),"dd-mmm-yyyy")</f>
        <v>30-Jun-2017</v>
      </c>
      <c r="E135" s="58">
        <v>110.7</v>
      </c>
    </row>
    <row r="136" spans="2:5" x14ac:dyDescent="0.35">
      <c r="B136" s="55">
        <v>2017</v>
      </c>
      <c r="C136" s="56" t="s">
        <v>86</v>
      </c>
      <c r="D136" s="57" t="str">
        <f t="shared" si="2"/>
        <v>30-Sep-2017</v>
      </c>
      <c r="E136" s="58">
        <v>111.4</v>
      </c>
    </row>
    <row r="137" spans="2:5" x14ac:dyDescent="0.35">
      <c r="B137" s="55">
        <v>2017</v>
      </c>
      <c r="C137" s="56" t="s">
        <v>87</v>
      </c>
      <c r="D137" s="57" t="str">
        <f t="shared" si="2"/>
        <v>31-Dec-2017</v>
      </c>
      <c r="E137" s="58">
        <v>112.1</v>
      </c>
    </row>
    <row r="138" spans="2:5" x14ac:dyDescent="0.35">
      <c r="B138" s="55">
        <v>2018</v>
      </c>
      <c r="C138" s="56" t="s">
        <v>84</v>
      </c>
      <c r="D138" s="57" t="str">
        <f t="shared" si="2"/>
        <v>31-Mar-2018</v>
      </c>
      <c r="E138" s="58">
        <v>112.6</v>
      </c>
    </row>
    <row r="139" spans="2:5" x14ac:dyDescent="0.35">
      <c r="B139" s="55">
        <v>2018</v>
      </c>
      <c r="C139" s="56" t="s">
        <v>85</v>
      </c>
      <c r="D139" s="57" t="str">
        <f t="shared" si="2"/>
        <v>30-Jun-2018</v>
      </c>
      <c r="E139" s="58">
        <v>113</v>
      </c>
    </row>
    <row r="140" spans="2:5" x14ac:dyDescent="0.35">
      <c r="B140" s="55">
        <v>2018</v>
      </c>
      <c r="C140" s="56" t="s">
        <v>86</v>
      </c>
      <c r="D140" s="57" t="str">
        <f t="shared" si="2"/>
        <v>30-Sep-2018</v>
      </c>
      <c r="E140" s="58">
        <v>113.5</v>
      </c>
    </row>
    <row r="141" spans="2:5" x14ac:dyDescent="0.35">
      <c r="B141" s="55">
        <v>2018</v>
      </c>
      <c r="C141" s="56" t="s">
        <v>87</v>
      </c>
      <c r="D141" s="57" t="str">
        <f t="shared" si="2"/>
        <v>31-Dec-2018</v>
      </c>
      <c r="E141" s="58">
        <v>114.1</v>
      </c>
    </row>
    <row r="142" spans="2:5" x14ac:dyDescent="0.35">
      <c r="B142" s="55">
        <v>2019</v>
      </c>
      <c r="C142" s="56" t="s">
        <v>84</v>
      </c>
      <c r="D142" s="57" t="str">
        <f t="shared" si="2"/>
        <v>31-Mar-2019</v>
      </c>
      <c r="E142" s="58">
        <v>114.1</v>
      </c>
    </row>
    <row r="143" spans="2:5" x14ac:dyDescent="0.35">
      <c r="B143" s="55">
        <v>2019</v>
      </c>
      <c r="C143" s="56" t="s">
        <v>85</v>
      </c>
      <c r="D143" s="57" t="str">
        <f t="shared" si="2"/>
        <v>30-Jun-2019</v>
      </c>
      <c r="E143" s="58">
        <v>114.8</v>
      </c>
    </row>
    <row r="144" spans="2:5" x14ac:dyDescent="0.35">
      <c r="B144" s="55">
        <v>2019</v>
      </c>
      <c r="C144" s="56" t="s">
        <v>86</v>
      </c>
      <c r="D144" s="57" t="str">
        <f t="shared" si="2"/>
        <v>30-Sep-2019</v>
      </c>
      <c r="E144" s="58">
        <v>115.4</v>
      </c>
    </row>
    <row r="145" spans="2:8" x14ac:dyDescent="0.35">
      <c r="B145" s="55">
        <v>2019</v>
      </c>
      <c r="C145" s="56" t="s">
        <v>87</v>
      </c>
      <c r="D145" s="57" t="str">
        <f t="shared" si="2"/>
        <v>31-Dec-2019</v>
      </c>
      <c r="E145" s="58">
        <v>116.2</v>
      </c>
    </row>
    <row r="146" spans="2:8" x14ac:dyDescent="0.35">
      <c r="B146" s="55">
        <v>2020</v>
      </c>
      <c r="C146" s="56" t="s">
        <v>84</v>
      </c>
      <c r="D146" s="57" t="str">
        <f t="shared" si="2"/>
        <v>31-Mar-2020</v>
      </c>
      <c r="E146" s="58">
        <v>116.6</v>
      </c>
    </row>
    <row r="147" spans="2:8" x14ac:dyDescent="0.35">
      <c r="B147" s="55">
        <v>2020</v>
      </c>
      <c r="C147" s="56" t="s">
        <v>85</v>
      </c>
      <c r="D147" s="57" t="str">
        <f t="shared" si="2"/>
        <v>30-Jun-2020</v>
      </c>
      <c r="E147" s="58">
        <v>114.4</v>
      </c>
    </row>
    <row r="148" spans="2:8" x14ac:dyDescent="0.35">
      <c r="B148" s="55">
        <v>2020</v>
      </c>
      <c r="C148" s="56" t="s">
        <v>86</v>
      </c>
      <c r="D148" s="57" t="str">
        <f t="shared" si="2"/>
        <v>30-Sep-2020</v>
      </c>
      <c r="E148" s="58">
        <v>116.2</v>
      </c>
    </row>
    <row r="149" spans="2:8" x14ac:dyDescent="0.35">
      <c r="B149" s="55">
        <v>2020</v>
      </c>
      <c r="C149" s="56" t="s">
        <v>87</v>
      </c>
      <c r="D149" s="57" t="str">
        <f t="shared" si="2"/>
        <v>31-Dec-2020</v>
      </c>
      <c r="E149" s="58">
        <v>117.2</v>
      </c>
    </row>
    <row r="150" spans="2:8" x14ac:dyDescent="0.35">
      <c r="B150" s="55">
        <v>2021</v>
      </c>
      <c r="C150" s="56" t="s">
        <v>84</v>
      </c>
      <c r="D150" s="57" t="str">
        <f t="shared" si="2"/>
        <v>31-Mar-2021</v>
      </c>
      <c r="E150" s="58">
        <v>117.9</v>
      </c>
    </row>
    <row r="151" spans="2:8" x14ac:dyDescent="0.35">
      <c r="B151" s="55">
        <v>2021</v>
      </c>
      <c r="C151" s="56" t="s">
        <v>85</v>
      </c>
      <c r="D151" s="57" t="str">
        <f t="shared" si="2"/>
        <v>30-Jun-2021</v>
      </c>
      <c r="E151" s="58">
        <v>118.8</v>
      </c>
    </row>
    <row r="152" spans="2:8" x14ac:dyDescent="0.35">
      <c r="B152" s="55">
        <v>2021</v>
      </c>
      <c r="C152" s="56" t="s">
        <v>86</v>
      </c>
      <c r="D152" s="57" t="str">
        <f t="shared" si="2"/>
        <v>30-Sep-2021</v>
      </c>
      <c r="E152" s="58">
        <v>119.7</v>
      </c>
    </row>
    <row r="153" spans="2:8" x14ac:dyDescent="0.35">
      <c r="B153" s="55">
        <v>2021</v>
      </c>
      <c r="C153" s="56" t="s">
        <v>87</v>
      </c>
      <c r="D153" s="57" t="str">
        <f t="shared" si="2"/>
        <v>31-Dec-2021</v>
      </c>
      <c r="E153" s="58">
        <v>121.3</v>
      </c>
      <c r="H153" s="77"/>
    </row>
    <row r="154" spans="2:8" x14ac:dyDescent="0.35">
      <c r="B154" s="55">
        <v>2022</v>
      </c>
      <c r="C154" s="56" t="s">
        <v>84</v>
      </c>
      <c r="D154" s="57" t="str">
        <f t="shared" si="2"/>
        <v>31-Mar-2022</v>
      </c>
      <c r="E154" s="58">
        <v>123.9</v>
      </c>
    </row>
    <row r="155" spans="2:8" x14ac:dyDescent="0.35">
      <c r="B155" s="55">
        <v>2022</v>
      </c>
      <c r="C155" s="56" t="s">
        <v>85</v>
      </c>
      <c r="D155" s="57" t="str">
        <f t="shared" si="2"/>
        <v>30-Jun-2022</v>
      </c>
      <c r="E155" s="58">
        <v>126.1</v>
      </c>
    </row>
    <row r="156" spans="2:8" x14ac:dyDescent="0.35">
      <c r="B156" s="55">
        <v>2022</v>
      </c>
      <c r="C156" s="56" t="s">
        <v>86</v>
      </c>
      <c r="D156" s="57" t="str">
        <f t="shared" si="2"/>
        <v>30-Sep-2022</v>
      </c>
      <c r="E156" s="58">
        <v>128.4</v>
      </c>
    </row>
    <row r="157" spans="2:8" x14ac:dyDescent="0.35">
      <c r="B157" s="55">
        <v>2022</v>
      </c>
      <c r="C157" s="56" t="s">
        <v>87</v>
      </c>
      <c r="D157" s="57" t="str">
        <f t="shared" si="2"/>
        <v>31-Dec-2022</v>
      </c>
      <c r="E157" s="58">
        <v>130.80000000000001</v>
      </c>
    </row>
    <row r="158" spans="2:8" x14ac:dyDescent="0.35">
      <c r="B158" s="55">
        <v>2023</v>
      </c>
      <c r="C158" s="56" t="s">
        <v>84</v>
      </c>
      <c r="D158" s="57" t="str">
        <f t="shared" si="2"/>
        <v>31-Mar-2023</v>
      </c>
      <c r="E158" s="58">
        <v>132.6</v>
      </c>
    </row>
    <row r="159" spans="2:8" x14ac:dyDescent="0.35">
      <c r="B159" s="55">
        <v>2023</v>
      </c>
      <c r="C159" s="56" t="s">
        <v>85</v>
      </c>
      <c r="D159" s="57" t="str">
        <f t="shared" si="2"/>
        <v>30-Jun-2023</v>
      </c>
      <c r="E159" s="58">
        <v>133.69999999999999</v>
      </c>
    </row>
    <row r="160" spans="2:8" x14ac:dyDescent="0.35">
      <c r="B160" s="55">
        <v>2023</v>
      </c>
      <c r="C160" s="56" t="s">
        <v>86</v>
      </c>
      <c r="D160" s="57" t="str">
        <f t="shared" si="2"/>
        <v>30-Sep-2023</v>
      </c>
      <c r="E160" s="58">
        <v>135.30000000000001</v>
      </c>
    </row>
    <row r="161" spans="2:5" x14ac:dyDescent="0.35">
      <c r="B161" s="55">
        <v>2023</v>
      </c>
      <c r="C161" s="56" t="s">
        <v>87</v>
      </c>
      <c r="D161" s="57" t="str">
        <f t="shared" si="2"/>
        <v>31-Dec-2023</v>
      </c>
      <c r="E161" s="58">
        <v>136.1</v>
      </c>
    </row>
  </sheetData>
  <sheetProtection algorithmName="SHA-512" hashValue="9CjUL7OpxBoNMa2j5oLGFcWfZYRU+1SJAGsMTHtOB1nKE6k3BDriwUYauDYoqpfOmpvUchJ+zsz+oIMF87XUew==" saltValue="fZdfTkjAYR06hmnu5aJkbg==" spinCount="100000" sheet="1" objects="1" scenarios="1"/>
  <mergeCells count="7">
    <mergeCell ref="L8:L11"/>
    <mergeCell ref="B2:B5"/>
    <mergeCell ref="C2:C5"/>
    <mergeCell ref="G2:H2"/>
    <mergeCell ref="G3:H3"/>
    <mergeCell ref="G4:H4"/>
    <mergeCell ref="G5:H5"/>
  </mergeCells>
  <hyperlinks>
    <hyperlink ref="E2" r:id="rId1" display="https://www.abs.gov.au/statistics/economy/price-indexes-and-inflation/consumer-price-index-australia/latest-release" xr:uid="{2CC93553-2F73-45F6-81A0-AE869ED0E7C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AAE11-9061-45A9-A46D-171175526942}">
  <sheetPr codeName="Sheet5">
    <tabColor theme="3" tint="0.79998168889431442"/>
  </sheetPr>
  <dimension ref="B2:F9"/>
  <sheetViews>
    <sheetView showGridLines="0" zoomScale="85" zoomScaleNormal="85" workbookViewId="0">
      <selection activeCell="E23" sqref="E23"/>
    </sheetView>
  </sheetViews>
  <sheetFormatPr defaultRowHeight="14.5" x14ac:dyDescent="0.35"/>
  <cols>
    <col min="2" max="2" width="19.6328125" customWidth="1"/>
    <col min="3" max="4" width="36.54296875" customWidth="1"/>
    <col min="5" max="5" width="84.6328125" customWidth="1"/>
    <col min="6" max="6" width="139.36328125" bestFit="1" customWidth="1"/>
  </cols>
  <sheetData>
    <row r="2" spans="2:6" x14ac:dyDescent="0.35">
      <c r="B2" s="180" t="s">
        <v>94</v>
      </c>
      <c r="C2" s="180" t="s">
        <v>95</v>
      </c>
      <c r="D2" s="180" t="s">
        <v>96</v>
      </c>
      <c r="E2" s="180" t="s">
        <v>97</v>
      </c>
      <c r="F2" s="180" t="s">
        <v>98</v>
      </c>
    </row>
    <row r="3" spans="2:6" x14ac:dyDescent="0.35">
      <c r="B3" s="23" t="s">
        <v>102</v>
      </c>
      <c r="C3" s="23" t="s">
        <v>78</v>
      </c>
      <c r="D3" s="23" t="s">
        <v>103</v>
      </c>
      <c r="E3" s="23" t="s">
        <v>361</v>
      </c>
      <c r="F3" s="23" t="s">
        <v>104</v>
      </c>
    </row>
    <row r="4" spans="2:6" x14ac:dyDescent="0.35">
      <c r="B4" s="23" t="s">
        <v>113</v>
      </c>
      <c r="C4" s="23" t="s">
        <v>114</v>
      </c>
      <c r="D4" s="23" t="s">
        <v>111</v>
      </c>
      <c r="E4" s="23" t="s">
        <v>359</v>
      </c>
      <c r="F4" s="23" t="s">
        <v>115</v>
      </c>
    </row>
    <row r="5" spans="2:6" x14ac:dyDescent="0.35">
      <c r="B5" s="23" t="s">
        <v>407</v>
      </c>
      <c r="C5" s="23" t="s">
        <v>110</v>
      </c>
      <c r="D5" s="23" t="s">
        <v>111</v>
      </c>
      <c r="E5" s="23" t="s">
        <v>409</v>
      </c>
      <c r="F5" s="23" t="s">
        <v>408</v>
      </c>
    </row>
    <row r="6" spans="2:6" x14ac:dyDescent="0.35">
      <c r="B6" s="23" t="s">
        <v>35</v>
      </c>
      <c r="C6" s="23" t="s">
        <v>406</v>
      </c>
      <c r="D6" s="23" t="s">
        <v>111</v>
      </c>
      <c r="E6" s="23" t="s">
        <v>360</v>
      </c>
      <c r="F6" s="23" t="s">
        <v>112</v>
      </c>
    </row>
    <row r="7" spans="2:6" x14ac:dyDescent="0.35">
      <c r="B7" s="23" t="s">
        <v>105</v>
      </c>
      <c r="C7" s="23" t="s">
        <v>106</v>
      </c>
      <c r="D7" s="23" t="s">
        <v>105</v>
      </c>
      <c r="E7" s="23" t="s">
        <v>11</v>
      </c>
      <c r="F7" s="23" t="s">
        <v>107</v>
      </c>
    </row>
    <row r="8" spans="2:6" x14ac:dyDescent="0.35">
      <c r="B8" s="23" t="s">
        <v>99</v>
      </c>
      <c r="C8" s="23" t="s">
        <v>100</v>
      </c>
      <c r="D8" s="23" t="s">
        <v>76</v>
      </c>
      <c r="E8" s="23" t="s">
        <v>362</v>
      </c>
      <c r="F8" s="23" t="s">
        <v>101</v>
      </c>
    </row>
    <row r="9" spans="2:6" x14ac:dyDescent="0.35">
      <c r="B9" s="23" t="s">
        <v>108</v>
      </c>
      <c r="C9" s="23" t="s">
        <v>109</v>
      </c>
      <c r="D9" s="23" t="s">
        <v>76</v>
      </c>
      <c r="E9" s="23" t="s">
        <v>363</v>
      </c>
      <c r="F9" s="23" t="s">
        <v>101</v>
      </c>
    </row>
  </sheetData>
  <sheetProtection algorithmName="SHA-512" hashValue="1/GrUUlbXu8lHvVWnF4wPcFjR9d9bM/9lnC1W9u12xFboOmTMZxZJUgpQCx4mRafEWjPa1A+tF0oY10WmLQq/A==" saltValue="fCI/VZYhGoZwvMwfy4jv5Q==" spinCount="100000" sheet="1" objects="1" scenario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45595-02A9-445D-AC72-EE4EDBD98EAB}">
  <sheetPr codeName="Sheet4"/>
  <dimension ref="B2:T105"/>
  <sheetViews>
    <sheetView showGridLines="0" zoomScale="70" zoomScaleNormal="70" workbookViewId="0">
      <selection activeCell="E33" sqref="E33"/>
    </sheetView>
  </sheetViews>
  <sheetFormatPr defaultRowHeight="14.5" x14ac:dyDescent="0.35"/>
  <cols>
    <col min="2" max="2" width="46.36328125" customWidth="1"/>
    <col min="3" max="3" width="13.7265625" bestFit="1" customWidth="1"/>
    <col min="4" max="4" width="12.81640625" bestFit="1" customWidth="1"/>
    <col min="5" max="5" width="23.81640625" bestFit="1" customWidth="1"/>
    <col min="6" max="6" width="26.1796875" bestFit="1" customWidth="1"/>
    <col min="7" max="7" width="13.1796875" bestFit="1" customWidth="1"/>
    <col min="8" max="8" width="25.453125" bestFit="1" customWidth="1"/>
    <col min="10" max="10" width="13.1796875" bestFit="1" customWidth="1"/>
    <col min="12" max="12" width="47.453125" bestFit="1" customWidth="1"/>
    <col min="13" max="13" width="35.7265625" bestFit="1" customWidth="1"/>
    <col min="15" max="15" width="35.7265625" bestFit="1" customWidth="1"/>
    <col min="16" max="16" width="47.453125" bestFit="1" customWidth="1"/>
    <col min="18" max="18" width="14.54296875" bestFit="1" customWidth="1"/>
    <col min="19" max="19" width="29.54296875" bestFit="1" customWidth="1"/>
    <col min="20" max="20" width="34.7265625" bestFit="1" customWidth="1"/>
  </cols>
  <sheetData>
    <row r="2" spans="2:20" x14ac:dyDescent="0.35">
      <c r="B2" s="175"/>
      <c r="C2" s="175"/>
      <c r="D2" s="175"/>
      <c r="E2" s="175"/>
      <c r="F2" s="175"/>
      <c r="G2" s="28"/>
      <c r="H2" s="28"/>
      <c r="L2" s="428" t="s">
        <v>225</v>
      </c>
      <c r="M2" s="428"/>
      <c r="N2" s="9"/>
      <c r="O2" s="428" t="s">
        <v>224</v>
      </c>
      <c r="P2" s="428"/>
      <c r="Q2" s="9"/>
      <c r="R2" s="428" t="s">
        <v>223</v>
      </c>
      <c r="S2" s="428"/>
      <c r="T2" s="428"/>
    </row>
    <row r="3" spans="2:20" x14ac:dyDescent="0.35">
      <c r="B3" s="30" t="s">
        <v>89</v>
      </c>
      <c r="C3" s="30" t="s">
        <v>90</v>
      </c>
      <c r="D3" s="30" t="s">
        <v>91</v>
      </c>
      <c r="E3" s="30" t="s">
        <v>238</v>
      </c>
      <c r="F3" s="30" t="s">
        <v>92</v>
      </c>
      <c r="G3" s="30" t="s">
        <v>236</v>
      </c>
      <c r="H3" s="30" t="s">
        <v>405</v>
      </c>
      <c r="J3" s="176" t="s">
        <v>151</v>
      </c>
      <c r="L3" s="176" t="s">
        <v>147</v>
      </c>
      <c r="M3" s="176" t="s">
        <v>220</v>
      </c>
      <c r="N3" s="9"/>
      <c r="O3" s="176" t="s">
        <v>260</v>
      </c>
      <c r="P3" s="176" t="s">
        <v>261</v>
      </c>
      <c r="Q3" s="9"/>
      <c r="R3" s="176"/>
      <c r="S3" s="176" t="s">
        <v>262</v>
      </c>
      <c r="T3" s="176" t="s">
        <v>263</v>
      </c>
    </row>
    <row r="4" spans="2:20" x14ac:dyDescent="0.35">
      <c r="B4" s="79"/>
      <c r="C4" s="79"/>
      <c r="D4" s="79" t="s">
        <v>240</v>
      </c>
      <c r="E4" s="79" t="s">
        <v>240</v>
      </c>
      <c r="F4" s="79" t="s">
        <v>93</v>
      </c>
      <c r="G4" s="79"/>
      <c r="H4" s="79" t="s">
        <v>8</v>
      </c>
      <c r="J4" s="23" t="s">
        <v>220</v>
      </c>
      <c r="L4" s="173" t="s">
        <v>222</v>
      </c>
      <c r="M4" s="177" t="s">
        <v>221</v>
      </c>
      <c r="N4" s="9"/>
      <c r="O4" s="177" t="str" cm="1">
        <f t="array" ref="O4:O39">IFERROR(_xlfn.XLOOKUP(Calculator!$F$14,'Dropdown menus'!$L$3:$M$3,'Dropdown menus'!L4:M39,"",0),"")</f>
        <v>2-Axle Rigid</v>
      </c>
      <c r="P4" s="177" t="str" cm="1">
        <f t="array" ref="P4:P39">IFERROR(_xlfn.XLOOKUP(Calculator!$W$14,'Dropdown menus'!$L$3:$M$3,L4:M39,"",0),"")</f>
        <v>3-axle truck and 3-axle dog trailer</v>
      </c>
      <c r="Q4" s="9"/>
      <c r="R4" s="179" t="s">
        <v>204</v>
      </c>
      <c r="S4" s="179" t="str" cm="1">
        <f t="array" ref="S4">_xlfn.TEXTJOIN(",",TRUE,IF(Mass_Data[Description]=Calculator!$I$14, IF(Mass_Data[Fleet]=Calculator!$F$14,Mass_Data[Mass Scheme],""),""))</f>
        <v>GML,CML,HML</v>
      </c>
      <c r="T4" s="179" t="str" cm="1">
        <f t="array" ref="T4">_xlfn.TEXTJOIN(",",TRUE,IF(Mass_Data[Description]=Calculator!$Z$14, IF(Mass_Data[Fleet]=Calculator!$W$14,Mass_Data[Mass Scheme],""),""))</f>
        <v>GML,CML,HML,GML,CML,HML</v>
      </c>
    </row>
    <row r="5" spans="2:20" x14ac:dyDescent="0.35">
      <c r="B5" s="79" t="str" cm="1">
        <f t="array" ref="B5:B27">_xlfn.UNIQUE(Axle_Data[Description (short)])</f>
        <v>SAST: &lt; 350mm</v>
      </c>
      <c r="C5" s="79" t="s">
        <v>0</v>
      </c>
      <c r="D5" s="79" t="s">
        <v>93</v>
      </c>
      <c r="E5" s="79" t="s">
        <v>93</v>
      </c>
      <c r="F5" s="79" t="s">
        <v>417</v>
      </c>
      <c r="G5" s="79" t="s">
        <v>256</v>
      </c>
      <c r="H5" s="169" t="s">
        <v>26</v>
      </c>
      <c r="J5" s="23" t="s">
        <v>147</v>
      </c>
      <c r="L5" s="173" t="s">
        <v>219</v>
      </c>
      <c r="M5" s="177" t="s">
        <v>218</v>
      </c>
      <c r="N5" s="9"/>
      <c r="O5" s="177" t="str">
        <v>3-Axle Rigid</v>
      </c>
      <c r="P5" s="177" t="str">
        <v>3-axle truck and 4-axle dog trailer</v>
      </c>
      <c r="Q5" s="9"/>
      <c r="R5" s="177" t="s">
        <v>18</v>
      </c>
      <c r="S5" s="177" t="str">
        <f>IF(ISNUMBER(SEARCH($R5,$S$4)),$R5,"")</f>
        <v>GML</v>
      </c>
      <c r="T5" s="177" t="str">
        <f>IF(ISNUMBER(SEARCH($R5,$T$4)),$R5,"")</f>
        <v>GML</v>
      </c>
    </row>
    <row r="6" spans="2:20" x14ac:dyDescent="0.35">
      <c r="B6" s="79" t="str">
        <v>SAST: 375 - 450mm</v>
      </c>
      <c r="C6" s="1"/>
      <c r="D6" s="23"/>
      <c r="E6" s="23"/>
      <c r="F6" s="79" t="s">
        <v>413</v>
      </c>
      <c r="G6" s="79" t="s">
        <v>257</v>
      </c>
      <c r="H6" s="169" t="s">
        <v>34</v>
      </c>
      <c r="L6" s="177" t="s">
        <v>217</v>
      </c>
      <c r="M6" s="177" t="s">
        <v>216</v>
      </c>
      <c r="N6" s="9"/>
      <c r="O6" s="177" t="str">
        <v>4-Axle Rigid</v>
      </c>
      <c r="P6" s="177" t="str">
        <v>3-axle truck and 5-axle dog trailer</v>
      </c>
      <c r="Q6" s="9"/>
      <c r="R6" s="177" t="s">
        <v>20</v>
      </c>
      <c r="S6" s="177" t="str">
        <f>IF(ISNUMBER(SEARCH($R6,$S$4)),$R6,"")</f>
        <v>CML</v>
      </c>
      <c r="T6" s="177" t="str">
        <f>IF(ISNUMBER(SEARCH($R6,$T$4)),$R6,"")</f>
        <v>CML</v>
      </c>
    </row>
    <row r="7" spans="2:20" x14ac:dyDescent="0.35">
      <c r="B7" s="79" t="str">
        <v>SAST: &gt; 450mm</v>
      </c>
      <c r="C7" s="1"/>
      <c r="F7" s="79" t="s">
        <v>412</v>
      </c>
      <c r="G7" s="79" t="s">
        <v>258</v>
      </c>
      <c r="H7" s="169" t="s">
        <v>396</v>
      </c>
      <c r="L7" s="177" t="s">
        <v>215</v>
      </c>
      <c r="M7" s="177" t="s">
        <v>214</v>
      </c>
      <c r="N7" s="9"/>
      <c r="O7" s="177" t="str">
        <v>4-Axle Twinsteer Rigid Truck</v>
      </c>
      <c r="P7" s="177" t="str">
        <v>3-axle truck and 6-axle dog trailer</v>
      </c>
      <c r="Q7" s="9"/>
      <c r="R7" s="177" t="s">
        <v>7</v>
      </c>
      <c r="S7" s="177" t="str">
        <f>IF(ISNUMBER(SEARCH($R7,$S$4)),$R7,"")</f>
        <v>HML</v>
      </c>
      <c r="T7" s="177" t="str">
        <f>IF(ISNUMBER(SEARCH($R7,$T$4)),$R7,"")</f>
        <v>HML</v>
      </c>
    </row>
    <row r="8" spans="2:20" x14ac:dyDescent="0.35">
      <c r="B8" s="79" t="str">
        <v>SADT</v>
      </c>
      <c r="C8" s="1"/>
      <c r="F8" s="79" t="s">
        <v>415</v>
      </c>
      <c r="H8" s="169" t="s">
        <v>40</v>
      </c>
      <c r="L8" s="177" t="s">
        <v>213</v>
      </c>
      <c r="M8" s="177" t="s">
        <v>212</v>
      </c>
      <c r="N8" s="9"/>
      <c r="O8" s="177" t="str">
        <v>5-Axle Twinsteer Rigid Truck</v>
      </c>
      <c r="P8" s="177" t="str">
        <v>4-axle truck and 3-axle dog trailer</v>
      </c>
      <c r="Q8" s="9"/>
      <c r="R8" s="9"/>
      <c r="S8" s="9"/>
      <c r="T8" s="9"/>
    </row>
    <row r="9" spans="2:20" x14ac:dyDescent="0.35">
      <c r="B9" s="79" t="str">
        <v>TAST: &lt; 350mm</v>
      </c>
      <c r="C9" s="1"/>
      <c r="F9" s="79" t="s">
        <v>416</v>
      </c>
      <c r="L9" s="177" t="s">
        <v>211</v>
      </c>
      <c r="M9" s="177" t="s">
        <v>210</v>
      </c>
      <c r="N9" s="9"/>
      <c r="O9" s="177" t="str">
        <v>3-Axle Semitrailer</v>
      </c>
      <c r="P9" s="177" t="str">
        <v>4-axle truck and 4-axle dog trailer</v>
      </c>
      <c r="Q9" s="9"/>
      <c r="R9" s="428" t="s">
        <v>209</v>
      </c>
      <c r="S9" s="428"/>
      <c r="T9" s="428"/>
    </row>
    <row r="10" spans="2:20" x14ac:dyDescent="0.35">
      <c r="B10" s="79" t="str">
        <v>TAST: 375 - 450mm</v>
      </c>
      <c r="C10" s="1"/>
      <c r="F10" s="79" t="s">
        <v>414</v>
      </c>
      <c r="H10" s="4"/>
      <c r="L10" s="177" t="s">
        <v>208</v>
      </c>
      <c r="M10" s="177" t="s">
        <v>207</v>
      </c>
      <c r="N10" s="9"/>
      <c r="O10" s="177" t="str">
        <v>4-Axle Semitrailer</v>
      </c>
      <c r="P10" s="177" t="str">
        <v>4-axle truck and 5-axle dog trailer</v>
      </c>
      <c r="Q10" s="9"/>
      <c r="R10" s="176"/>
      <c r="S10" s="176" t="s">
        <v>264</v>
      </c>
      <c r="T10" s="176" t="s">
        <v>265</v>
      </c>
    </row>
    <row r="11" spans="2:20" x14ac:dyDescent="0.35">
      <c r="B11" s="79" t="str">
        <v>TAST: &gt; 450mm</v>
      </c>
      <c r="C11" s="1"/>
      <c r="L11" s="177" t="s">
        <v>206</v>
      </c>
      <c r="M11" s="177" t="s">
        <v>205</v>
      </c>
      <c r="N11" s="9"/>
      <c r="O11" s="177" t="str">
        <v>5-Axle Semitrailer</v>
      </c>
      <c r="P11" s="177" t="str">
        <v>4-axle truck and 6-axle dog trailer</v>
      </c>
      <c r="Q11" s="9"/>
      <c r="R11" s="179" t="s">
        <v>204</v>
      </c>
      <c r="S11" s="179" t="str" cm="1">
        <f t="array" ref="S11">_xlfn.TEXTJOIN(",",TRUE,IF(Mass_Data[Description]=Calculator!$I$14,IF(Mass_Data[Fleet]=Calculator!$F$14,IF(Mass_Data[Mass Scheme]=Calculator!$L$14,Mass_Data[PBS Level],""),""),""))</f>
        <v>n/a</v>
      </c>
      <c r="T11" s="179" t="str" cm="1">
        <f t="array" ref="T11">_xlfn.TEXTJOIN(",",TRUE,IF(Mass_Data[Description]=Calculator!$Z$14,IF(Mass_Data[Fleet]=Calculator!$W$14,IF(Mass_Data[Mass Scheme]=Calculator!$AC$14,Mass_Data[PBS Level],""),""),""))</f>
        <v>2,3</v>
      </c>
    </row>
    <row r="12" spans="2:20" x14ac:dyDescent="0.35">
      <c r="B12" s="79" t="str">
        <v>TADT (non-drive)</v>
      </c>
      <c r="C12" s="1"/>
      <c r="H12" s="4"/>
      <c r="L12" s="177" t="s">
        <v>203</v>
      </c>
      <c r="M12" s="177" t="s">
        <v>153</v>
      </c>
      <c r="N12" s="9"/>
      <c r="O12" s="177" t="str">
        <v>6-Axle Semitrailer</v>
      </c>
      <c r="P12" s="177" t="str">
        <v>2-axle prime mover and 2-axle semitrailer</v>
      </c>
      <c r="Q12" s="9"/>
      <c r="R12" s="177" t="s">
        <v>202</v>
      </c>
      <c r="S12" s="177" t="str">
        <f>IF(ISNUMBER(SEARCH($R12,$S$11)),$R12,"")</f>
        <v>n/a</v>
      </c>
      <c r="T12" s="177" t="str">
        <f>IF(ISNUMBER(SEARCH($R12,$T$11)),$R12,"")</f>
        <v/>
      </c>
    </row>
    <row r="13" spans="2:20" x14ac:dyDescent="0.35">
      <c r="B13" s="79" t="str">
        <v>TADT (drive)</v>
      </c>
      <c r="C13" s="1"/>
      <c r="L13" s="177" t="s">
        <v>201</v>
      </c>
      <c r="M13" s="177" t="s">
        <v>200</v>
      </c>
      <c r="N13" s="9"/>
      <c r="O13" s="177" t="str">
        <v>2-Axle Truck and 2-Axle Dog Trailer</v>
      </c>
      <c r="P13" s="177" t="str">
        <v>3-axle prime mover and 2-axle semitrailer</v>
      </c>
      <c r="Q13" s="9"/>
      <c r="R13" s="177">
        <v>1</v>
      </c>
      <c r="S13" s="177" t="str">
        <f>IF(ISNUMBER(SEARCH($R13,$S$11)),$R13,"")</f>
        <v/>
      </c>
      <c r="T13" s="177" t="str">
        <f>IF(ISNUMBER(SEARCH($R13,$T$11)),$R13,"")</f>
        <v/>
      </c>
    </row>
    <row r="14" spans="2:20" x14ac:dyDescent="0.35">
      <c r="B14" s="79" t="str">
        <v>TRST: &lt; 350mm</v>
      </c>
      <c r="C14" s="1"/>
      <c r="H14" s="4"/>
      <c r="L14" s="177" t="s">
        <v>199</v>
      </c>
      <c r="M14" s="177" t="s">
        <v>198</v>
      </c>
      <c r="N14" s="9"/>
      <c r="O14" s="177" t="str">
        <v>2-Axle Truck and 2-Axle Pig Trailer</v>
      </c>
      <c r="P14" s="177" t="str">
        <v>3-axle prime mover and 3-axle semitrailer</v>
      </c>
      <c r="Q14" s="9"/>
      <c r="R14" s="177">
        <v>2</v>
      </c>
      <c r="S14" s="177" t="str">
        <f>IF(ISNUMBER(SEARCH($R14,$S$11)),$R14,"")</f>
        <v/>
      </c>
      <c r="T14" s="177">
        <f>IF(ISNUMBER(SEARCH($R14,$T$11)),$R14,"")</f>
        <v>2</v>
      </c>
    </row>
    <row r="15" spans="2:20" x14ac:dyDescent="0.35">
      <c r="B15" s="79" t="str">
        <v>TRST: 375 - 450mm</v>
      </c>
      <c r="C15" s="1"/>
      <c r="H15" s="4"/>
      <c r="L15" s="177" t="s">
        <v>197</v>
      </c>
      <c r="M15" s="177" t="s">
        <v>196</v>
      </c>
      <c r="N15" s="9"/>
      <c r="O15" s="177" t="str">
        <v>3-Axle Truck and 2-Axle Dog Trailer</v>
      </c>
      <c r="P15" s="177" t="str">
        <v>4-axle prime mover and 3-axle semitrailer</v>
      </c>
      <c r="Q15" s="9"/>
      <c r="R15" s="177">
        <v>3</v>
      </c>
      <c r="S15" s="177" t="str">
        <f>IF(ISNUMBER(SEARCH($R15,$S$11)),$R15,"")</f>
        <v/>
      </c>
      <c r="T15" s="177">
        <f>IF(ISNUMBER(SEARCH($R15,$T$11)),$R15,"")</f>
        <v>3</v>
      </c>
    </row>
    <row r="16" spans="2:20" x14ac:dyDescent="0.35">
      <c r="B16" s="79" t="str">
        <v>TRST: &gt; 450mm</v>
      </c>
      <c r="C16" s="1"/>
      <c r="H16" s="4"/>
      <c r="L16" s="177" t="s">
        <v>195</v>
      </c>
      <c r="M16" s="177" t="s">
        <v>194</v>
      </c>
      <c r="N16" s="9"/>
      <c r="O16" s="177" t="str">
        <v>3-Axle Truck and 2-Axle Pig Trailer</v>
      </c>
      <c r="P16" s="177" t="str">
        <v>3-axle prime mover and quad-axle semitrailer</v>
      </c>
      <c r="Q16" s="9"/>
      <c r="R16" s="177">
        <v>4</v>
      </c>
      <c r="S16" s="177" t="str">
        <f>IF(ISNUMBER(SEARCH($R16,$S$11)),$R16,"")</f>
        <v/>
      </c>
      <c r="T16" s="177" t="str">
        <f>IF(ISNUMBER(SEARCH($R16,$T$11)),$R16,"")</f>
        <v/>
      </c>
    </row>
    <row r="17" spans="2:20" x14ac:dyDescent="0.35">
      <c r="B17" s="79" t="str">
        <v>TRDT</v>
      </c>
      <c r="C17" s="1"/>
      <c r="L17" s="177" t="s">
        <v>193</v>
      </c>
      <c r="M17" s="177" t="s">
        <v>192</v>
      </c>
      <c r="N17" s="9"/>
      <c r="O17" s="177" t="str">
        <v>3-Axle Truck and 3-Axle Dog Trailer</v>
      </c>
      <c r="P17" s="177" t="str">
        <v>4-axle prime mover and quad-axle semitrailer</v>
      </c>
      <c r="Q17" s="9"/>
      <c r="R17" s="9"/>
      <c r="S17" s="9"/>
      <c r="T17" s="9"/>
    </row>
    <row r="18" spans="2:20" x14ac:dyDescent="0.35">
      <c r="B18" s="79" t="str">
        <v>QAST: &lt; 350mm</v>
      </c>
      <c r="C18" s="1"/>
      <c r="L18" s="177" t="s">
        <v>191</v>
      </c>
      <c r="M18" s="177" t="s">
        <v>190</v>
      </c>
      <c r="N18" s="9"/>
      <c r="O18" s="177" t="str">
        <v>3-Axle Truck and 3-Axle Pig Trailer</v>
      </c>
      <c r="P18" s="177" t="str">
        <v>Prime mover and semitrailer with 2 axle groups (2-1)</v>
      </c>
      <c r="Q18" s="9"/>
      <c r="R18" s="9"/>
      <c r="S18" s="178"/>
      <c r="T18" s="178"/>
    </row>
    <row r="19" spans="2:20" x14ac:dyDescent="0.35">
      <c r="B19" s="79" t="str">
        <v>QAST: 375 - 450mm</v>
      </c>
      <c r="C19" s="1"/>
      <c r="L19" s="177" t="s">
        <v>189</v>
      </c>
      <c r="M19" s="177" t="s">
        <v>188</v>
      </c>
      <c r="N19" s="9"/>
      <c r="O19" s="177" t="str">
        <v>3-Axle Truck and 4-Axle Dog Trailer</v>
      </c>
      <c r="P19" s="177" t="str">
        <v>Prime mover and semitrailer with 2 axle groups (1-3)</v>
      </c>
      <c r="Q19" s="9"/>
      <c r="R19" s="9"/>
      <c r="S19" s="9"/>
      <c r="T19" s="9"/>
    </row>
    <row r="20" spans="2:20" x14ac:dyDescent="0.35">
      <c r="B20" s="79" t="str">
        <v>QAST: &gt; 450mm</v>
      </c>
      <c r="C20" s="1"/>
      <c r="L20" s="177" t="s">
        <v>187</v>
      </c>
      <c r="M20" s="177" t="s">
        <v>186</v>
      </c>
      <c r="N20" s="9"/>
      <c r="O20" s="177" t="str">
        <v>4-Axle Truck and 3-Axle Dog Trailer</v>
      </c>
      <c r="P20" s="177" t="str">
        <v>3-axle prime mover B-double (2-2)</v>
      </c>
      <c r="Q20" s="9"/>
      <c r="R20" s="9"/>
      <c r="S20" s="9"/>
      <c r="T20" s="9"/>
    </row>
    <row r="21" spans="2:20" x14ac:dyDescent="0.35">
      <c r="B21" s="79" t="str">
        <v>QADT</v>
      </c>
      <c r="C21" s="1"/>
      <c r="L21" s="177" t="s">
        <v>185</v>
      </c>
      <c r="M21" s="177" t="s">
        <v>184</v>
      </c>
      <c r="N21" s="9"/>
      <c r="O21" s="177" t="str">
        <v>4-Axle Truck and 4-Axle Dog Trailer</v>
      </c>
      <c r="P21" s="177" t="str">
        <v>3-axle prime mover B-double (3-2)</v>
      </c>
      <c r="Q21" s="9"/>
      <c r="R21" s="9"/>
      <c r="S21" s="9"/>
      <c r="T21" s="9"/>
    </row>
    <row r="22" spans="2:20" x14ac:dyDescent="0.35">
      <c r="B22" s="79" t="str">
        <v>TSST: &lt; 350mm (Load sharing suspension)</v>
      </c>
      <c r="C22" s="1"/>
      <c r="L22" s="177" t="s">
        <v>183</v>
      </c>
      <c r="M22" s="177" t="s">
        <v>182</v>
      </c>
      <c r="N22" s="9"/>
      <c r="O22" s="177" t="str">
        <v>7-Axle B-Double</v>
      </c>
      <c r="P22" s="177" t="str">
        <v>3-axle prime mover B-double (3-3)</v>
      </c>
      <c r="Q22" s="9"/>
      <c r="R22" s="9"/>
      <c r="S22" s="9"/>
      <c r="T22" s="9"/>
    </row>
    <row r="23" spans="2:20" x14ac:dyDescent="0.35">
      <c r="B23" s="79" t="str">
        <v>TSST: 375 - 450mm (Load sharing suspension)</v>
      </c>
      <c r="C23" s="1"/>
      <c r="L23" s="177" t="s">
        <v>181</v>
      </c>
      <c r="M23" s="177" t="s">
        <v>180</v>
      </c>
      <c r="N23" s="9"/>
      <c r="O23" s="177" t="str">
        <v>8-Axle B-Double</v>
      </c>
      <c r="P23" s="177" t="str">
        <v>3-axle prime mover B-double (4-3)</v>
      </c>
      <c r="Q23" s="9"/>
      <c r="R23" s="9"/>
      <c r="S23" s="9"/>
      <c r="T23" s="9"/>
    </row>
    <row r="24" spans="2:20" x14ac:dyDescent="0.35">
      <c r="B24" s="79" t="str">
        <v>TSST: &gt; 450mm (Load sharing suspension)</v>
      </c>
      <c r="C24" s="1"/>
      <c r="L24" s="177" t="s">
        <v>148</v>
      </c>
      <c r="M24" s="177" t="s">
        <v>152</v>
      </c>
      <c r="N24" s="9"/>
      <c r="O24" s="177" t="str">
        <v>9-Axle B-Double</v>
      </c>
      <c r="P24" s="177" t="str">
        <v>3-axle prime mover B-double (4-4)</v>
      </c>
      <c r="Q24" s="9"/>
      <c r="R24" s="9"/>
      <c r="S24" s="9"/>
      <c r="T24" s="9"/>
    </row>
    <row r="25" spans="2:20" x14ac:dyDescent="0.35">
      <c r="B25" s="79" t="str">
        <v>PSADT</v>
      </c>
      <c r="C25" s="1"/>
      <c r="L25" s="177" t="s">
        <v>179</v>
      </c>
      <c r="M25" s="177" t="s">
        <v>178</v>
      </c>
      <c r="N25" s="9"/>
      <c r="O25" s="174" t="str">
        <v>9-Axle A-Double</v>
      </c>
      <c r="P25" s="177" t="str">
        <v>3-axle prime mover A-double (2-2-2)</v>
      </c>
      <c r="Q25" s="9"/>
      <c r="R25" s="9"/>
      <c r="S25" s="9"/>
      <c r="T25" s="9"/>
    </row>
    <row r="26" spans="2:20" x14ac:dyDescent="0.35">
      <c r="B26" s="79" t="str">
        <v>PTADT</v>
      </c>
      <c r="C26" s="1"/>
      <c r="L26" s="177" t="s">
        <v>177</v>
      </c>
      <c r="M26" s="177" t="s">
        <v>176</v>
      </c>
      <c r="N26" s="9"/>
      <c r="O26" s="174" t="str">
        <v>11-Axle A-Double</v>
      </c>
      <c r="P26" s="177" t="str">
        <v>3-axle prime mover A-double (3-2-3)</v>
      </c>
      <c r="Q26" s="9"/>
      <c r="R26" s="9"/>
      <c r="S26" s="9"/>
      <c r="T26" s="9"/>
    </row>
    <row r="27" spans="2:20" x14ac:dyDescent="0.35">
      <c r="B27" s="79" t="str">
        <v>PTRDT</v>
      </c>
      <c r="C27" s="1"/>
      <c r="L27" s="177" t="s">
        <v>175</v>
      </c>
      <c r="M27" s="177" t="s">
        <v>174</v>
      </c>
      <c r="N27" s="9"/>
      <c r="O27" s="174" t="str">
        <v>12-Axle A-Double</v>
      </c>
      <c r="P27" s="177" t="str">
        <v>3-axle prime mover A-double (3-3-3)</v>
      </c>
      <c r="Q27" s="9"/>
      <c r="R27" s="9"/>
      <c r="S27" s="9"/>
      <c r="T27" s="9"/>
    </row>
    <row r="28" spans="2:20" x14ac:dyDescent="0.35">
      <c r="B28" s="1"/>
      <c r="C28" s="1"/>
      <c r="L28" s="177" t="s">
        <v>173</v>
      </c>
      <c r="M28" s="177" t="s">
        <v>172</v>
      </c>
      <c r="N28" s="9"/>
      <c r="O28" s="174" t="str">
        <v>12-Axle Modular B-Triple</v>
      </c>
      <c r="P28" s="177" t="str">
        <v>A-triple (3-3-3-3-3)</v>
      </c>
      <c r="Q28" s="9"/>
      <c r="R28" s="9"/>
      <c r="S28" s="9"/>
      <c r="T28" s="9"/>
    </row>
    <row r="29" spans="2:20" x14ac:dyDescent="0.35">
      <c r="B29" s="1"/>
      <c r="C29" s="1"/>
      <c r="L29" s="177" t="s">
        <v>171</v>
      </c>
      <c r="M29" s="177" t="s">
        <v>170</v>
      </c>
      <c r="N29" s="9"/>
      <c r="O29" s="174" t="str">
        <v>12-Axle B-Triple</v>
      </c>
      <c r="P29" s="177" t="str">
        <v>B-triple (3-3-3)</v>
      </c>
      <c r="Q29" s="9"/>
      <c r="R29" s="9"/>
      <c r="S29" s="9"/>
      <c r="T29" s="9"/>
    </row>
    <row r="30" spans="2:20" x14ac:dyDescent="0.35">
      <c r="B30" s="1"/>
      <c r="C30" s="1"/>
      <c r="L30" s="177" t="s">
        <v>169</v>
      </c>
      <c r="M30" s="177" t="s">
        <v>168</v>
      </c>
      <c r="N30" s="9"/>
      <c r="O30" s="174" t="str">
        <v>14-Axle AB-Triple</v>
      </c>
      <c r="P30" s="177" t="str">
        <v>AB-triple (3-3-3-3)</v>
      </c>
      <c r="Q30" s="9"/>
      <c r="R30" s="9"/>
      <c r="S30" s="9"/>
      <c r="T30" s="9"/>
    </row>
    <row r="31" spans="2:20" x14ac:dyDescent="0.35">
      <c r="B31" s="1"/>
      <c r="C31" s="1"/>
      <c r="L31" s="177" t="s">
        <v>167</v>
      </c>
      <c r="M31" s="177" t="s">
        <v>166</v>
      </c>
      <c r="N31" s="9"/>
      <c r="O31" s="174" t="str">
        <v>15-Axle AB-Triple</v>
      </c>
      <c r="P31" s="177" t="str">
        <v>BA-triple (3-3-3-3)</v>
      </c>
      <c r="Q31" s="9"/>
      <c r="R31" s="9"/>
      <c r="S31" s="9"/>
      <c r="T31" s="9"/>
    </row>
    <row r="32" spans="2:20" x14ac:dyDescent="0.35">
      <c r="B32" s="1"/>
      <c r="C32" s="1"/>
      <c r="L32" s="174" t="s">
        <v>165</v>
      </c>
      <c r="M32" s="177" t="s">
        <v>164</v>
      </c>
      <c r="N32" s="9"/>
      <c r="O32" s="174" t="str">
        <v>11-Axle Rigid Truck and 2 Dog Trailers</v>
      </c>
      <c r="P32" s="174" t="str">
        <v>AB-double (1-2-1)</v>
      </c>
      <c r="Q32" s="9"/>
      <c r="R32" s="9"/>
      <c r="S32" s="9"/>
      <c r="T32" s="9"/>
    </row>
    <row r="33" spans="2:20" x14ac:dyDescent="0.35">
      <c r="B33" s="1"/>
      <c r="C33" s="1"/>
      <c r="L33" s="177" t="s">
        <v>163</v>
      </c>
      <c r="M33" s="177" t="s">
        <v>162</v>
      </c>
      <c r="N33" s="9"/>
      <c r="O33" s="174" t="str">
        <v>16-Axle A-Triple</v>
      </c>
      <c r="P33" s="174" t="str">
        <v>3-axle truck and 2-axle pig trailer</v>
      </c>
      <c r="Q33" s="9"/>
      <c r="R33" s="9"/>
      <c r="S33" s="9"/>
      <c r="T33" s="178"/>
    </row>
    <row r="34" spans="2:20" x14ac:dyDescent="0.35">
      <c r="B34" s="1"/>
      <c r="C34" s="1"/>
      <c r="L34" s="177" t="s">
        <v>161</v>
      </c>
      <c r="M34" s="177" t="s">
        <v>160</v>
      </c>
      <c r="N34" s="9"/>
      <c r="O34" s="174" t="str">
        <v>18-Axle A-Triple</v>
      </c>
      <c r="P34" s="174" t="str">
        <v>4-axle truck and 2-axle pig trailer</v>
      </c>
      <c r="Q34" s="9"/>
      <c r="R34" s="9"/>
      <c r="S34" s="9"/>
      <c r="T34" s="9"/>
    </row>
    <row r="35" spans="2:20" x14ac:dyDescent="0.35">
      <c r="B35" s="1"/>
      <c r="C35" s="1"/>
      <c r="L35" s="177" t="str">
        <f>""</f>
        <v/>
      </c>
      <c r="M35" s="177" t="s">
        <v>159</v>
      </c>
      <c r="N35" s="9"/>
      <c r="O35" s="174" t="str">
        <v>13-Axle Rigid Truck and 2 Dog Trailers</v>
      </c>
      <c r="P35" s="174" t="str">
        <v/>
      </c>
      <c r="Q35" s="9"/>
      <c r="R35" s="9"/>
      <c r="S35" s="9"/>
      <c r="T35" s="9"/>
    </row>
    <row r="36" spans="2:20" x14ac:dyDescent="0.35">
      <c r="B36" s="1"/>
      <c r="C36" s="1"/>
      <c r="L36" s="177" t="str">
        <f>""</f>
        <v/>
      </c>
      <c r="M36" s="177" t="s">
        <v>158</v>
      </c>
      <c r="N36" s="9"/>
      <c r="O36" s="174" t="str">
        <v>17-Axle BAB-Quad</v>
      </c>
      <c r="P36" s="174" t="str">
        <v/>
      </c>
      <c r="Q36" s="9"/>
      <c r="R36" s="9"/>
      <c r="S36" s="9"/>
      <c r="T36" s="9"/>
    </row>
    <row r="37" spans="2:20" x14ac:dyDescent="0.35">
      <c r="B37" s="1"/>
      <c r="C37" s="1"/>
      <c r="L37" s="177" t="str">
        <f>""</f>
        <v/>
      </c>
      <c r="M37" s="177" t="s">
        <v>157</v>
      </c>
      <c r="N37" s="9"/>
      <c r="O37" s="174" t="str">
        <v>18-Axle BAB-Quad</v>
      </c>
      <c r="P37" s="174" t="str">
        <v/>
      </c>
      <c r="Q37" s="9"/>
      <c r="R37" s="9"/>
      <c r="S37" s="9"/>
      <c r="T37" s="9"/>
    </row>
    <row r="38" spans="2:20" x14ac:dyDescent="0.35">
      <c r="B38" s="1"/>
      <c r="C38" s="1"/>
      <c r="L38" s="177" t="str">
        <f>""</f>
        <v/>
      </c>
      <c r="M38" s="177" t="s">
        <v>156</v>
      </c>
      <c r="N38" s="9"/>
      <c r="O38" s="174" t="str">
        <v>17-Axle ABB-Quad</v>
      </c>
      <c r="P38" s="174" t="str">
        <v/>
      </c>
      <c r="Q38" s="9"/>
      <c r="R38" s="9"/>
      <c r="S38" s="9"/>
      <c r="T38" s="9"/>
    </row>
    <row r="39" spans="2:20" x14ac:dyDescent="0.35">
      <c r="B39" s="1"/>
      <c r="C39" s="1"/>
      <c r="L39" s="177" t="str">
        <f>""</f>
        <v/>
      </c>
      <c r="M39" s="177" t="s">
        <v>155</v>
      </c>
      <c r="N39" s="178"/>
      <c r="O39" s="174" t="str">
        <v>18-Axle ABB-Quad</v>
      </c>
      <c r="P39" s="174" t="str">
        <v/>
      </c>
      <c r="Q39" s="178"/>
      <c r="R39" s="178"/>
      <c r="S39" s="9"/>
      <c r="T39" s="9"/>
    </row>
    <row r="40" spans="2:20" x14ac:dyDescent="0.35">
      <c r="B40" s="1"/>
      <c r="C40" s="1"/>
    </row>
    <row r="41" spans="2:20" x14ac:dyDescent="0.35">
      <c r="B41" s="1"/>
      <c r="C41" s="1"/>
    </row>
    <row r="42" spans="2:20" x14ac:dyDescent="0.35">
      <c r="B42" s="1"/>
      <c r="C42" s="1"/>
    </row>
    <row r="43" spans="2:20" x14ac:dyDescent="0.35">
      <c r="B43" s="1"/>
      <c r="C43" s="1"/>
    </row>
    <row r="44" spans="2:20" x14ac:dyDescent="0.35">
      <c r="B44" s="1"/>
      <c r="C44" s="1"/>
    </row>
    <row r="45" spans="2:20" x14ac:dyDescent="0.35">
      <c r="B45" s="1"/>
      <c r="C45" s="1"/>
    </row>
    <row r="46" spans="2:20" x14ac:dyDescent="0.35">
      <c r="B46" s="1"/>
      <c r="C46" s="1"/>
    </row>
    <row r="47" spans="2:20" x14ac:dyDescent="0.35">
      <c r="B47" s="1"/>
      <c r="C47" s="1"/>
    </row>
    <row r="48" spans="2:20" x14ac:dyDescent="0.35">
      <c r="B48" s="1"/>
      <c r="C48" s="1"/>
    </row>
    <row r="49" spans="2:3" x14ac:dyDescent="0.35">
      <c r="B49" s="1"/>
      <c r="C49" s="1"/>
    </row>
    <row r="50" spans="2:3" x14ac:dyDescent="0.35">
      <c r="B50" s="1"/>
      <c r="C50" s="1"/>
    </row>
    <row r="51" spans="2:3" x14ac:dyDescent="0.35">
      <c r="B51" s="1"/>
      <c r="C51" s="1"/>
    </row>
    <row r="52" spans="2:3" x14ac:dyDescent="0.35">
      <c r="B52" s="1"/>
      <c r="C52" s="1"/>
    </row>
    <row r="53" spans="2:3" x14ac:dyDescent="0.35">
      <c r="B53" s="1"/>
      <c r="C53" s="1"/>
    </row>
    <row r="54" spans="2:3" x14ac:dyDescent="0.35">
      <c r="B54" s="1"/>
      <c r="C54" s="1"/>
    </row>
    <row r="55" spans="2:3" x14ac:dyDescent="0.35">
      <c r="B55" s="1"/>
      <c r="C55" s="1"/>
    </row>
    <row r="56" spans="2:3" x14ac:dyDescent="0.35">
      <c r="B56" s="1"/>
      <c r="C56" s="1"/>
    </row>
    <row r="57" spans="2:3" x14ac:dyDescent="0.35">
      <c r="B57" s="1"/>
      <c r="C57" s="1"/>
    </row>
    <row r="58" spans="2:3" x14ac:dyDescent="0.35">
      <c r="B58" s="1"/>
      <c r="C58" s="1"/>
    </row>
    <row r="59" spans="2:3" x14ac:dyDescent="0.35">
      <c r="B59" s="1"/>
      <c r="C59" s="1"/>
    </row>
    <row r="60" spans="2:3" x14ac:dyDescent="0.35">
      <c r="B60" s="1"/>
      <c r="C60" s="1"/>
    </row>
    <row r="61" spans="2:3" x14ac:dyDescent="0.35">
      <c r="B61" s="1"/>
      <c r="C61" s="1"/>
    </row>
    <row r="62" spans="2:3" x14ac:dyDescent="0.35">
      <c r="B62" s="1"/>
      <c r="C62" s="1"/>
    </row>
    <row r="63" spans="2:3" x14ac:dyDescent="0.35">
      <c r="B63" s="1"/>
      <c r="C63" s="1"/>
    </row>
    <row r="64" spans="2:3" x14ac:dyDescent="0.35">
      <c r="B64" s="1"/>
      <c r="C64" s="1"/>
    </row>
    <row r="65" spans="2:3" x14ac:dyDescent="0.35">
      <c r="B65" s="1"/>
      <c r="C65" s="1"/>
    </row>
    <row r="66" spans="2:3" x14ac:dyDescent="0.35">
      <c r="B66" s="1"/>
      <c r="C66" s="1"/>
    </row>
    <row r="67" spans="2:3" x14ac:dyDescent="0.35">
      <c r="B67" s="1"/>
      <c r="C67" s="1"/>
    </row>
    <row r="68" spans="2:3" x14ac:dyDescent="0.35">
      <c r="B68" s="1"/>
      <c r="C68" s="1"/>
    </row>
    <row r="69" spans="2:3" x14ac:dyDescent="0.35">
      <c r="B69" s="1"/>
      <c r="C69" s="1"/>
    </row>
    <row r="70" spans="2:3" x14ac:dyDescent="0.35">
      <c r="B70" s="1"/>
      <c r="C70" s="1"/>
    </row>
    <row r="71" spans="2:3" x14ac:dyDescent="0.35">
      <c r="B71" s="1"/>
      <c r="C71" s="1"/>
    </row>
    <row r="72" spans="2:3" x14ac:dyDescent="0.35">
      <c r="B72" s="1"/>
      <c r="C72" s="1"/>
    </row>
    <row r="73" spans="2:3" x14ac:dyDescent="0.35">
      <c r="B73" s="1"/>
      <c r="C73" s="1"/>
    </row>
    <row r="74" spans="2:3" x14ac:dyDescent="0.35">
      <c r="B74" s="1"/>
      <c r="C74" s="1"/>
    </row>
    <row r="75" spans="2:3" x14ac:dyDescent="0.35">
      <c r="B75" s="1"/>
      <c r="C75" s="1"/>
    </row>
    <row r="76" spans="2:3" x14ac:dyDescent="0.35">
      <c r="B76" s="1"/>
      <c r="C76" s="1"/>
    </row>
    <row r="77" spans="2:3" x14ac:dyDescent="0.35">
      <c r="B77" s="1"/>
      <c r="C77" s="1"/>
    </row>
    <row r="78" spans="2:3" x14ac:dyDescent="0.35">
      <c r="B78" s="1"/>
      <c r="C78" s="1"/>
    </row>
    <row r="79" spans="2:3" x14ac:dyDescent="0.35">
      <c r="B79" s="1"/>
      <c r="C79" s="1"/>
    </row>
    <row r="80" spans="2:3" x14ac:dyDescent="0.35">
      <c r="B80" s="1"/>
      <c r="C80" s="1"/>
    </row>
    <row r="81" spans="2:3" x14ac:dyDescent="0.35">
      <c r="B81" s="1"/>
      <c r="C81" s="1"/>
    </row>
    <row r="82" spans="2:3" x14ac:dyDescent="0.35">
      <c r="B82" s="1"/>
      <c r="C82" s="1"/>
    </row>
    <row r="83" spans="2:3" x14ac:dyDescent="0.35">
      <c r="B83" s="1"/>
      <c r="C83" s="1"/>
    </row>
    <row r="84" spans="2:3" x14ac:dyDescent="0.35">
      <c r="B84" s="1"/>
      <c r="C84" s="1"/>
    </row>
    <row r="85" spans="2:3" x14ac:dyDescent="0.35">
      <c r="B85" s="1"/>
      <c r="C85" s="1"/>
    </row>
    <row r="86" spans="2:3" x14ac:dyDescent="0.35">
      <c r="B86" s="1"/>
      <c r="C86" s="1"/>
    </row>
    <row r="87" spans="2:3" x14ac:dyDescent="0.35">
      <c r="B87" s="1"/>
      <c r="C87" s="1"/>
    </row>
    <row r="88" spans="2:3" x14ac:dyDescent="0.35">
      <c r="B88" s="1"/>
      <c r="C88" s="1"/>
    </row>
    <row r="89" spans="2:3" x14ac:dyDescent="0.35">
      <c r="B89" s="1"/>
      <c r="C89" s="1"/>
    </row>
    <row r="90" spans="2:3" x14ac:dyDescent="0.35">
      <c r="B90" s="1"/>
      <c r="C90" s="1"/>
    </row>
    <row r="91" spans="2:3" x14ac:dyDescent="0.35">
      <c r="B91" s="1"/>
      <c r="C91" s="1"/>
    </row>
    <row r="92" spans="2:3" x14ac:dyDescent="0.35">
      <c r="B92" s="1"/>
      <c r="C92" s="1"/>
    </row>
    <row r="93" spans="2:3" x14ac:dyDescent="0.35">
      <c r="B93" s="1"/>
      <c r="C93" s="1"/>
    </row>
    <row r="94" spans="2:3" x14ac:dyDescent="0.35">
      <c r="B94" s="1"/>
      <c r="C94" s="1"/>
    </row>
    <row r="95" spans="2:3" x14ac:dyDescent="0.35">
      <c r="B95" s="1"/>
      <c r="C95" s="1"/>
    </row>
    <row r="96" spans="2:3" x14ac:dyDescent="0.35">
      <c r="B96" s="1"/>
      <c r="C96" s="1"/>
    </row>
    <row r="97" spans="2:3" x14ac:dyDescent="0.35">
      <c r="B97" s="1"/>
      <c r="C97" s="1"/>
    </row>
    <row r="98" spans="2:3" x14ac:dyDescent="0.35">
      <c r="B98" s="1"/>
      <c r="C98" s="1"/>
    </row>
    <row r="99" spans="2:3" x14ac:dyDescent="0.35">
      <c r="B99" s="1"/>
      <c r="C99" s="1"/>
    </row>
    <row r="100" spans="2:3" x14ac:dyDescent="0.35">
      <c r="B100" s="1"/>
      <c r="C100" s="1"/>
    </row>
    <row r="101" spans="2:3" x14ac:dyDescent="0.35">
      <c r="B101" s="1"/>
      <c r="C101" s="1"/>
    </row>
    <row r="102" spans="2:3" x14ac:dyDescent="0.35">
      <c r="B102" s="1"/>
      <c r="C102" s="1"/>
    </row>
    <row r="103" spans="2:3" x14ac:dyDescent="0.35">
      <c r="B103" s="1"/>
      <c r="C103" s="1"/>
    </row>
    <row r="104" spans="2:3" x14ac:dyDescent="0.35">
      <c r="B104" s="1"/>
      <c r="C104" s="1"/>
    </row>
    <row r="105" spans="2:3" x14ac:dyDescent="0.35">
      <c r="B105" s="1"/>
      <c r="C105" s="1"/>
    </row>
  </sheetData>
  <sheetProtection algorithmName="SHA-512" hashValue="xaOTntw2nF5P5QeJ0NkSgL8IvPTFGn7KZpykg1EmFKEw6uKap8vNj7/mx+qDqxXh5IqvJY5mYoYiN3bHv6sSqA==" saltValue="h1ehMDW73MEdMjHcDpQ7Nw==" spinCount="100000" sheet="1" objects="1" scenarios="1"/>
  <sortState xmlns:xlrd2="http://schemas.microsoft.com/office/spreadsheetml/2017/richdata2" ref="F5:F10">
    <sortCondition ref="F5:F10"/>
  </sortState>
  <mergeCells count="4">
    <mergeCell ref="L2:M2"/>
    <mergeCell ref="O2:P2"/>
    <mergeCell ref="R2:T2"/>
    <mergeCell ref="R9:T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af919d3-3e62-41d5-bd5a-2e80a23e3e07">
      <Terms xmlns="http://schemas.microsoft.com/office/infopath/2007/PartnerControls"/>
    </lcf76f155ced4ddcb4097134ff3c332f>
    <TaxCatchAll xmlns="3b37444d-10a4-428a-b82d-7f89fea1cf8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8A0CF4C8AFC3438A33C88DF0840CD6" ma:contentTypeVersion="14" ma:contentTypeDescription="Create a new document." ma:contentTypeScope="" ma:versionID="99c7693be021b6d1f493d10e6564efc2">
  <xsd:schema xmlns:xsd="http://www.w3.org/2001/XMLSchema" xmlns:xs="http://www.w3.org/2001/XMLSchema" xmlns:p="http://schemas.microsoft.com/office/2006/metadata/properties" xmlns:ns2="1af919d3-3e62-41d5-bd5a-2e80a23e3e07" xmlns:ns3="3b37444d-10a4-428a-b82d-7f89fea1cf82" targetNamespace="http://schemas.microsoft.com/office/2006/metadata/properties" ma:root="true" ma:fieldsID="aa95038e6f69737d61833a972aff1a15" ns2:_="" ns3:_="">
    <xsd:import namespace="1af919d3-3e62-41d5-bd5a-2e80a23e3e07"/>
    <xsd:import namespace="3b37444d-10a4-428a-b82d-7f89fea1cf8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f919d3-3e62-41d5-bd5a-2e80a23e3e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882f032-dad1-41cf-a60f-97869fdaafa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37444d-10a4-428a-b82d-7f89fea1cf8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67c601ac-cf52-4f46-8f6b-ce609fed52ed}" ma:internalName="TaxCatchAll" ma:showField="CatchAllData" ma:web="3b37444d-10a4-428a-b82d-7f89fea1cf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5ADED1-AC06-4F3B-B46C-100AE365F193}">
  <ds:schemaRefs>
    <ds:schemaRef ds:uri="http://schemas.microsoft.com/office/2006/metadata/properties"/>
    <ds:schemaRef ds:uri="1af919d3-3e62-41d5-bd5a-2e80a23e3e07"/>
    <ds:schemaRef ds:uri="3b37444d-10a4-428a-b82d-7f89fea1cf82"/>
    <ds:schemaRef ds:uri="http://purl.org/dc/dcmitype/"/>
    <ds:schemaRef ds:uri="http://purl.org/dc/terms/"/>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07B96D81-AE81-4794-9D64-5F834CB75197}">
  <ds:schemaRefs>
    <ds:schemaRef ds:uri="http://schemas.microsoft.com/sharepoint/v3/contenttype/forms"/>
  </ds:schemaRefs>
</ds:datastoreItem>
</file>

<file path=customXml/itemProps3.xml><?xml version="1.0" encoding="utf-8"?>
<ds:datastoreItem xmlns:ds="http://schemas.openxmlformats.org/officeDocument/2006/customXml" ds:itemID="{D237F02F-0330-4562-AB26-1A8C5D6756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f919d3-3e62-41d5-bd5a-2e80a23e3e07"/>
    <ds:schemaRef ds:uri="3b37444d-10a4-428a-b82d-7f89fea1cf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Calculator</vt:lpstr>
      <vt:lpstr>Underlying axle data</vt:lpstr>
      <vt:lpstr>Underlying mass data</vt:lpstr>
      <vt:lpstr>Escalated values</vt:lpstr>
      <vt:lpstr>Data sources</vt:lpstr>
      <vt:lpstr>Dropdown menus</vt:lpstr>
    </vt:vector>
  </TitlesOfParts>
  <Manager/>
  <Company>National Heavy Vehicle Regulator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Pavement Impact Comparison Calculator Beta</dc:title>
  <dc:subject/>
  <dc:creator>National Heavy Vehicle Regulator (NHVR)</dc:creator>
  <cp:keywords/>
  <dc:description/>
  <cp:lastModifiedBy>Joshua Forrest</cp:lastModifiedBy>
  <cp:revision/>
  <cp:lastPrinted>2023-10-31T04:56:17Z</cp:lastPrinted>
  <dcterms:created xsi:type="dcterms:W3CDTF">2022-12-13T21:04:25Z</dcterms:created>
  <dcterms:modified xsi:type="dcterms:W3CDTF">2024-04-24T01:15:03Z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0x010100FC8A0CF4C8AFC3438A33C88DF0840CD6</vt:lpwstr>
  </property>
  <property fmtid="{D5CDD505-2E9C-101B-9397-08002B2CF9AE}" pid="3" name="MediaServiceImageTags">
    <vt:lpwstr/>
  </property>
  <property fmtid="{D5CDD505-2E9C-101B-9397-08002B2CF9AE}" pid="4" name="Order">
    <vt:r8>895800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